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ova\OneDrive\Desktop\Fundación Maritere\Campaña anual\Global Giving\"/>
    </mc:Choice>
  </mc:AlternateContent>
  <bookViews>
    <workbookView xWindow="0" yWindow="0" windowWidth="20490" windowHeight="9045" activeTab="3"/>
  </bookViews>
  <sheets>
    <sheet name="RevenuesvsExpenses" sheetId="4" r:id="rId1"/>
    <sheet name="Construction" sheetId="2" r:id="rId2"/>
    <sheet name="Budget2018" sheetId="5" r:id="rId3"/>
    <sheet name="Budget2019" sheetId="8" r:id="rId4"/>
    <sheet name="Sheet1" sheetId="9" r:id="rId5"/>
    <sheet name="SUM" sheetId="7" r:id="rId6"/>
    <sheet name="Sheet2" sheetId="10" r:id="rId7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9" l="1"/>
  <c r="B11" i="9"/>
  <c r="B18" i="9"/>
  <c r="B8" i="9"/>
  <c r="B15" i="9"/>
  <c r="C12" i="8"/>
  <c r="D12" i="8"/>
  <c r="E12" i="8"/>
  <c r="F12" i="8"/>
  <c r="G12" i="8"/>
  <c r="H12" i="8"/>
  <c r="I12" i="8"/>
  <c r="J12" i="8"/>
  <c r="K12" i="8"/>
  <c r="L12" i="8"/>
  <c r="M12" i="8"/>
  <c r="N12" i="8"/>
  <c r="C13" i="8"/>
  <c r="D13" i="8"/>
  <c r="C8" i="8"/>
  <c r="D8" i="8"/>
  <c r="E8" i="8"/>
  <c r="C14" i="8"/>
  <c r="D14" i="8"/>
  <c r="E14" i="8"/>
  <c r="F14" i="8"/>
  <c r="G14" i="8"/>
  <c r="H14" i="8"/>
  <c r="I14" i="8"/>
  <c r="J14" i="8"/>
  <c r="K14" i="8"/>
  <c r="L14" i="8"/>
  <c r="M14" i="8"/>
  <c r="N14" i="8"/>
  <c r="C6" i="8"/>
  <c r="D6" i="8"/>
  <c r="E6" i="8"/>
  <c r="F6" i="8"/>
  <c r="G6" i="8"/>
  <c r="H6" i="8"/>
  <c r="I6" i="8"/>
  <c r="J6" i="8"/>
  <c r="K6" i="8"/>
  <c r="L6" i="8"/>
  <c r="M6" i="8"/>
  <c r="N6" i="8"/>
  <c r="F8" i="8"/>
  <c r="G8" i="8"/>
  <c r="H8" i="8"/>
  <c r="I8" i="8"/>
  <c r="J8" i="8"/>
  <c r="K8" i="8"/>
  <c r="L8" i="8"/>
  <c r="M8" i="8"/>
  <c r="N8" i="8"/>
  <c r="D11" i="8"/>
  <c r="C11" i="8"/>
  <c r="E13" i="8"/>
  <c r="F13" i="8"/>
  <c r="G13" i="8"/>
  <c r="H13" i="8"/>
  <c r="I13" i="8"/>
  <c r="J13" i="8"/>
  <c r="K13" i="8"/>
  <c r="L13" i="8"/>
  <c r="M13" i="8"/>
  <c r="N13" i="8"/>
  <c r="N11" i="8"/>
  <c r="H11" i="8"/>
  <c r="I11" i="8"/>
  <c r="K11" i="8"/>
  <c r="J11" i="8"/>
  <c r="E11" i="8"/>
  <c r="B8" i="8"/>
  <c r="M11" i="8"/>
  <c r="G11" i="8"/>
  <c r="F11" i="8"/>
  <c r="L11" i="8"/>
  <c r="B13" i="8"/>
  <c r="C36" i="8"/>
  <c r="D36" i="8"/>
  <c r="E36" i="8"/>
  <c r="F36" i="8"/>
  <c r="G36" i="8"/>
  <c r="H36" i="8"/>
  <c r="I36" i="8"/>
  <c r="J36" i="8"/>
  <c r="K36" i="8"/>
  <c r="L36" i="8"/>
  <c r="M36" i="8"/>
  <c r="N36" i="8"/>
  <c r="C9" i="8"/>
  <c r="D9" i="8"/>
  <c r="E9" i="8"/>
  <c r="F9" i="8"/>
  <c r="G9" i="8"/>
  <c r="H9" i="8"/>
  <c r="I9" i="8"/>
  <c r="J9" i="8"/>
  <c r="K9" i="8"/>
  <c r="L9" i="8"/>
  <c r="M9" i="8"/>
  <c r="N9" i="8"/>
  <c r="D35" i="8"/>
  <c r="E35" i="8"/>
  <c r="F35" i="8"/>
  <c r="G35" i="8"/>
  <c r="K35" i="8"/>
  <c r="L35" i="8"/>
  <c r="C10" i="8"/>
  <c r="D10" i="8"/>
  <c r="E10" i="8"/>
  <c r="F10" i="8"/>
  <c r="G10" i="8"/>
  <c r="B33" i="8"/>
  <c r="D34" i="8"/>
  <c r="B31" i="8"/>
  <c r="B30" i="8"/>
  <c r="B32" i="8"/>
  <c r="B29" i="8"/>
  <c r="B24" i="8"/>
  <c r="B21" i="8"/>
  <c r="B22" i="8"/>
  <c r="B23" i="8"/>
  <c r="B7" i="8"/>
  <c r="B25" i="8"/>
  <c r="B26" i="8"/>
  <c r="B27" i="8"/>
  <c r="B11" i="8"/>
  <c r="AA12" i="7"/>
  <c r="AA14" i="7"/>
  <c r="Z12" i="7"/>
  <c r="Z14" i="7"/>
  <c r="Y12" i="7"/>
  <c r="Y14" i="7"/>
  <c r="X12" i="7"/>
  <c r="X14" i="7"/>
  <c r="W12" i="7"/>
  <c r="W14" i="7"/>
  <c r="V12" i="7"/>
  <c r="V14" i="7"/>
  <c r="U12" i="7"/>
  <c r="U14" i="7"/>
  <c r="T12" i="7"/>
  <c r="T14" i="7"/>
  <c r="S12" i="7"/>
  <c r="S14" i="7"/>
  <c r="R12" i="7"/>
  <c r="R14" i="7"/>
  <c r="Q12" i="7"/>
  <c r="Q14" i="7"/>
  <c r="P12" i="7"/>
  <c r="P14" i="7"/>
  <c r="O12" i="7"/>
  <c r="O14" i="7"/>
  <c r="N12" i="7"/>
  <c r="N14" i="7"/>
  <c r="M12" i="7"/>
  <c r="M14" i="7"/>
  <c r="L12" i="7"/>
  <c r="L14" i="7"/>
  <c r="K12" i="7"/>
  <c r="K14" i="7"/>
  <c r="J12" i="7"/>
  <c r="J14" i="7"/>
  <c r="I12" i="7"/>
  <c r="I14" i="7"/>
  <c r="H12" i="7"/>
  <c r="H14" i="7"/>
  <c r="G12" i="7"/>
  <c r="G14" i="7"/>
  <c r="F12" i="7"/>
  <c r="F14" i="7"/>
  <c r="E12" i="7"/>
  <c r="E14" i="7"/>
  <c r="D12" i="7"/>
  <c r="D14" i="7"/>
  <c r="C10" i="7"/>
  <c r="C9" i="7"/>
  <c r="C8" i="7"/>
  <c r="C12" i="7"/>
  <c r="C5" i="7"/>
  <c r="C14" i="7"/>
  <c r="E6" i="4"/>
  <c r="E4" i="4"/>
  <c r="E26" i="4"/>
  <c r="E34" i="4"/>
  <c r="C19" i="5"/>
  <c r="D19" i="5"/>
  <c r="D30" i="4"/>
  <c r="E28" i="4"/>
  <c r="D6" i="5"/>
  <c r="E6" i="5"/>
  <c r="E27" i="5"/>
  <c r="F6" i="5"/>
  <c r="F27" i="5"/>
  <c r="G6" i="5"/>
  <c r="G27" i="5"/>
  <c r="H6" i="5"/>
  <c r="H27" i="5"/>
  <c r="I6" i="5"/>
  <c r="J6" i="5"/>
  <c r="J27" i="5"/>
  <c r="K5" i="5"/>
  <c r="K6" i="5"/>
  <c r="K13" i="5"/>
  <c r="K27" i="5"/>
  <c r="L5" i="5"/>
  <c r="L6" i="5"/>
  <c r="L13" i="5"/>
  <c r="L27" i="5"/>
  <c r="M5" i="5"/>
  <c r="M6" i="5"/>
  <c r="M13" i="5"/>
  <c r="N5" i="5"/>
  <c r="N6" i="5"/>
  <c r="N13" i="5"/>
  <c r="O5" i="5"/>
  <c r="O6" i="5"/>
  <c r="O13" i="5"/>
  <c r="O27" i="5"/>
  <c r="P5" i="5"/>
  <c r="P6" i="5"/>
  <c r="P13" i="5"/>
  <c r="P27" i="5"/>
  <c r="J19" i="5"/>
  <c r="E19" i="5"/>
  <c r="E18" i="5"/>
  <c r="I19" i="5"/>
  <c r="I18" i="5"/>
  <c r="J18" i="5"/>
  <c r="L21" i="5"/>
  <c r="M19" i="5"/>
  <c r="M21" i="5"/>
  <c r="M18" i="5"/>
  <c r="N21" i="5"/>
  <c r="O21" i="5"/>
  <c r="P21" i="5"/>
  <c r="C23" i="5"/>
  <c r="E23" i="5"/>
  <c r="D24" i="5"/>
  <c r="E24" i="5"/>
  <c r="E25" i="5"/>
  <c r="E26" i="5"/>
  <c r="F23" i="5"/>
  <c r="F24" i="5"/>
  <c r="F25" i="5"/>
  <c r="F26" i="5"/>
  <c r="F22" i="5"/>
  <c r="G23" i="5"/>
  <c r="G24" i="5"/>
  <c r="G25" i="5"/>
  <c r="G26" i="5"/>
  <c r="G22" i="5"/>
  <c r="H24" i="5"/>
  <c r="H25" i="5"/>
  <c r="H26" i="5"/>
  <c r="I24" i="5"/>
  <c r="I25" i="5"/>
  <c r="I26" i="5"/>
  <c r="J23" i="5"/>
  <c r="J24" i="5"/>
  <c r="J25" i="5"/>
  <c r="J26" i="5"/>
  <c r="J22" i="5"/>
  <c r="K23" i="5"/>
  <c r="K24" i="5"/>
  <c r="K25" i="5"/>
  <c r="K26" i="5"/>
  <c r="K22" i="5"/>
  <c r="L24" i="5"/>
  <c r="L25" i="5"/>
  <c r="L26" i="5"/>
  <c r="M24" i="5"/>
  <c r="M25" i="5"/>
  <c r="M26" i="5"/>
  <c r="N23" i="5"/>
  <c r="N24" i="5"/>
  <c r="N25" i="5"/>
  <c r="N26" i="5"/>
  <c r="N22" i="5"/>
  <c r="O23" i="5"/>
  <c r="O24" i="5"/>
  <c r="O25" i="5"/>
  <c r="O26" i="5"/>
  <c r="O22" i="5"/>
  <c r="P24" i="5"/>
  <c r="P25" i="5"/>
  <c r="P26" i="5"/>
  <c r="E4" i="5"/>
  <c r="F4" i="5"/>
  <c r="G7" i="5"/>
  <c r="H4" i="5"/>
  <c r="L4" i="5"/>
  <c r="P4" i="5"/>
  <c r="C8" i="5"/>
  <c r="P8" i="5"/>
  <c r="D11" i="5"/>
  <c r="P11" i="5"/>
  <c r="P12" i="5"/>
  <c r="P10" i="5"/>
  <c r="P15" i="5"/>
  <c r="D8" i="5"/>
  <c r="D9" i="5"/>
  <c r="E11" i="5"/>
  <c r="E12" i="5"/>
  <c r="E10" i="5"/>
  <c r="F11" i="5"/>
  <c r="F12" i="5"/>
  <c r="F10" i="5"/>
  <c r="G11" i="5"/>
  <c r="G12" i="5"/>
  <c r="G10" i="5"/>
  <c r="H11" i="5"/>
  <c r="H12" i="5"/>
  <c r="H10" i="5"/>
  <c r="I12" i="5"/>
  <c r="J11" i="5"/>
  <c r="J12" i="5"/>
  <c r="J10" i="5"/>
  <c r="K11" i="5"/>
  <c r="K12" i="5"/>
  <c r="K10" i="5"/>
  <c r="L11" i="5"/>
  <c r="L12" i="5"/>
  <c r="L10" i="5"/>
  <c r="L8" i="5"/>
  <c r="L15" i="5"/>
  <c r="M12" i="5"/>
  <c r="N11" i="5"/>
  <c r="N12" i="5"/>
  <c r="N10" i="5"/>
  <c r="O11" i="5"/>
  <c r="O12" i="5"/>
  <c r="O10" i="5"/>
  <c r="E8" i="5"/>
  <c r="D5" i="5"/>
  <c r="D12" i="5"/>
  <c r="D25" i="5"/>
  <c r="D21" i="5"/>
  <c r="D20" i="5"/>
  <c r="D26" i="5"/>
  <c r="E29" i="4"/>
  <c r="D33" i="4"/>
  <c r="D14" i="2"/>
  <c r="E14" i="2"/>
  <c r="F14" i="2"/>
  <c r="G14" i="2"/>
  <c r="H14" i="2"/>
  <c r="I14" i="2"/>
  <c r="J14" i="2"/>
  <c r="K14" i="2"/>
  <c r="L14" i="2"/>
  <c r="D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23" i="2"/>
  <c r="E23" i="2"/>
  <c r="F23" i="2"/>
  <c r="G23" i="2"/>
  <c r="H23" i="2"/>
  <c r="I23" i="2"/>
  <c r="J23" i="2"/>
  <c r="K23" i="2"/>
  <c r="L23" i="2"/>
  <c r="D24" i="2"/>
  <c r="E24" i="2"/>
  <c r="F24" i="2"/>
  <c r="G24" i="2"/>
  <c r="H24" i="2"/>
  <c r="I24" i="2"/>
  <c r="J24" i="2"/>
  <c r="K24" i="2"/>
  <c r="L24" i="2"/>
  <c r="D25" i="2"/>
  <c r="E25" i="2"/>
  <c r="F25" i="2"/>
  <c r="G25" i="2"/>
  <c r="H25" i="2"/>
  <c r="I25" i="2"/>
  <c r="J25" i="2"/>
  <c r="K25" i="2"/>
  <c r="L25" i="2"/>
  <c r="D26" i="2"/>
  <c r="E26" i="2"/>
  <c r="F26" i="2"/>
  <c r="G26" i="2"/>
  <c r="H26" i="2"/>
  <c r="I26" i="2"/>
  <c r="J26" i="2"/>
  <c r="K26" i="2"/>
  <c r="L26" i="2"/>
  <c r="D27" i="2"/>
  <c r="E27" i="2"/>
  <c r="F27" i="2"/>
  <c r="G27" i="2"/>
  <c r="H27" i="2"/>
  <c r="I27" i="2"/>
  <c r="J27" i="2"/>
  <c r="K27" i="2"/>
  <c r="L27" i="2"/>
  <c r="D28" i="2"/>
  <c r="E28" i="2"/>
  <c r="F28" i="2"/>
  <c r="G28" i="2"/>
  <c r="H28" i="2"/>
  <c r="I28" i="2"/>
  <c r="J28" i="2"/>
  <c r="K28" i="2"/>
  <c r="L28" i="2"/>
  <c r="D29" i="2"/>
  <c r="E29" i="2"/>
  <c r="F29" i="2"/>
  <c r="G29" i="2"/>
  <c r="H29" i="2"/>
  <c r="I29" i="2"/>
  <c r="J29" i="2"/>
  <c r="K29" i="2"/>
  <c r="L29" i="2"/>
  <c r="D30" i="2"/>
  <c r="E30" i="2"/>
  <c r="F30" i="2"/>
  <c r="G30" i="2"/>
  <c r="H30" i="2"/>
  <c r="I30" i="2"/>
  <c r="J30" i="2"/>
  <c r="K30" i="2"/>
  <c r="L30" i="2"/>
  <c r="D31" i="2"/>
  <c r="E31" i="2"/>
  <c r="F31" i="2"/>
  <c r="G31" i="2"/>
  <c r="H31" i="2"/>
  <c r="I31" i="2"/>
  <c r="J31" i="2"/>
  <c r="K31" i="2"/>
  <c r="L31" i="2"/>
  <c r="D32" i="2"/>
  <c r="E32" i="2"/>
  <c r="F32" i="2"/>
  <c r="G32" i="2"/>
  <c r="H32" i="2"/>
  <c r="I32" i="2"/>
  <c r="J32" i="2"/>
  <c r="K32" i="2"/>
  <c r="L32" i="2"/>
  <c r="D7" i="5"/>
  <c r="C10" i="5"/>
  <c r="C9" i="5"/>
  <c r="C4" i="5"/>
  <c r="C15" i="5"/>
  <c r="C34" i="2"/>
  <c r="F6" i="4"/>
  <c r="C27" i="5"/>
  <c r="N8" i="5"/>
  <c r="J8" i="5"/>
  <c r="F8" i="5"/>
  <c r="F15" i="5"/>
  <c r="I8" i="5"/>
  <c r="H8" i="5"/>
  <c r="M8" i="5"/>
  <c r="O8" i="5"/>
  <c r="K8" i="5"/>
  <c r="G8" i="5"/>
  <c r="F4" i="4"/>
  <c r="C18" i="5"/>
  <c r="C22" i="5"/>
  <c r="J29" i="5"/>
  <c r="C29" i="5"/>
  <c r="C7" i="8"/>
  <c r="M35" i="8"/>
  <c r="B35" i="8"/>
  <c r="C28" i="8"/>
  <c r="B20" i="8"/>
  <c r="E15" i="2"/>
  <c r="D34" i="2"/>
  <c r="H15" i="5"/>
  <c r="E15" i="5"/>
  <c r="O4" i="5"/>
  <c r="O15" i="5"/>
  <c r="G4" i="5"/>
  <c r="G15" i="5"/>
  <c r="E34" i="8"/>
  <c r="D28" i="8"/>
  <c r="M4" i="5"/>
  <c r="M27" i="5"/>
  <c r="I27" i="5"/>
  <c r="N27" i="5"/>
  <c r="D27" i="5"/>
  <c r="I4" i="5"/>
  <c r="L19" i="5"/>
  <c r="L18" i="5"/>
  <c r="P19" i="5"/>
  <c r="P18" i="5"/>
  <c r="F19" i="5"/>
  <c r="F18" i="5"/>
  <c r="H19" i="5"/>
  <c r="H18" i="5"/>
  <c r="O19" i="5"/>
  <c r="O18" i="5"/>
  <c r="O29" i="5"/>
  <c r="K19" i="5"/>
  <c r="K18" i="5"/>
  <c r="K29" i="5"/>
  <c r="N19" i="5"/>
  <c r="N18" i="5"/>
  <c r="N29" i="5"/>
  <c r="K4" i="5"/>
  <c r="K15" i="5"/>
  <c r="K31" i="5"/>
  <c r="E22" i="5"/>
  <c r="G19" i="5"/>
  <c r="G18" i="5"/>
  <c r="G29" i="5"/>
  <c r="N4" i="5"/>
  <c r="N15" i="5"/>
  <c r="H10" i="8"/>
  <c r="I10" i="8"/>
  <c r="J10" i="8"/>
  <c r="M11" i="5"/>
  <c r="M10" i="5"/>
  <c r="I11" i="5"/>
  <c r="I10" i="5"/>
  <c r="D10" i="5"/>
  <c r="J4" i="5"/>
  <c r="J15" i="5"/>
  <c r="J31" i="5"/>
  <c r="M23" i="5"/>
  <c r="M22" i="5"/>
  <c r="M29" i="5"/>
  <c r="I23" i="5"/>
  <c r="I22" i="5"/>
  <c r="I29" i="5"/>
  <c r="C24" i="8"/>
  <c r="P23" i="5"/>
  <c r="P22" i="5"/>
  <c r="L23" i="5"/>
  <c r="L22" i="5"/>
  <c r="H23" i="5"/>
  <c r="D7" i="8"/>
  <c r="F15" i="2"/>
  <c r="E34" i="2"/>
  <c r="H22" i="5"/>
  <c r="D23" i="5"/>
  <c r="D22" i="5"/>
  <c r="P29" i="5"/>
  <c r="P31" i="5"/>
  <c r="E29" i="5"/>
  <c r="E31" i="5"/>
  <c r="D24" i="8"/>
  <c r="C20" i="8"/>
  <c r="C38" i="8"/>
  <c r="C5" i="8"/>
  <c r="D18" i="5"/>
  <c r="D29" i="5"/>
  <c r="F29" i="5"/>
  <c r="F31" i="5"/>
  <c r="E28" i="8"/>
  <c r="F34" i="8"/>
  <c r="K10" i="8"/>
  <c r="N31" i="5"/>
  <c r="L29" i="5"/>
  <c r="L31" i="5"/>
  <c r="M15" i="5"/>
  <c r="M31" i="5"/>
  <c r="G31" i="5"/>
  <c r="D4" i="5"/>
  <c r="D15" i="5"/>
  <c r="D31" i="5"/>
  <c r="H29" i="5"/>
  <c r="H31" i="5"/>
  <c r="I15" i="5"/>
  <c r="I31" i="5"/>
  <c r="O31" i="5"/>
  <c r="D5" i="8"/>
  <c r="E5" i="8"/>
  <c r="F5" i="8"/>
  <c r="G5" i="8"/>
  <c r="K5" i="8"/>
  <c r="L5" i="8"/>
  <c r="M5" i="8"/>
  <c r="C4" i="8"/>
  <c r="C17" i="8"/>
  <c r="E7" i="8"/>
  <c r="D4" i="8"/>
  <c r="D17" i="8"/>
  <c r="E24" i="8"/>
  <c r="D20" i="8"/>
  <c r="D38" i="8"/>
  <c r="G34" i="8"/>
  <c r="F28" i="8"/>
  <c r="L10" i="8"/>
  <c r="G15" i="2"/>
  <c r="F34" i="2"/>
  <c r="D40" i="8"/>
  <c r="F7" i="8"/>
  <c r="E4" i="8"/>
  <c r="E17" i="8"/>
  <c r="H34" i="8"/>
  <c r="G28" i="8"/>
  <c r="H15" i="2"/>
  <c r="G34" i="2"/>
  <c r="M10" i="8"/>
  <c r="E20" i="8"/>
  <c r="F24" i="8"/>
  <c r="G7" i="8"/>
  <c r="F4" i="8"/>
  <c r="F17" i="8"/>
  <c r="E38" i="8"/>
  <c r="E40" i="8"/>
  <c r="G24" i="8"/>
  <c r="F20" i="8"/>
  <c r="H34" i="2"/>
  <c r="I15" i="2"/>
  <c r="N10" i="8"/>
  <c r="I34" i="8"/>
  <c r="H28" i="8"/>
  <c r="H7" i="8"/>
  <c r="G4" i="8"/>
  <c r="G17" i="8"/>
  <c r="F38" i="8"/>
  <c r="F40" i="8"/>
  <c r="J15" i="2"/>
  <c r="I34" i="2"/>
  <c r="I28" i="8"/>
  <c r="J34" i="8"/>
  <c r="H24" i="8"/>
  <c r="G20" i="8"/>
  <c r="I7" i="8"/>
  <c r="G38" i="8"/>
  <c r="G40" i="8"/>
  <c r="K34" i="8"/>
  <c r="J28" i="8"/>
  <c r="I24" i="8"/>
  <c r="H20" i="8"/>
  <c r="K15" i="2"/>
  <c r="J34" i="2"/>
  <c r="J7" i="8"/>
  <c r="H38" i="8"/>
  <c r="I20" i="8"/>
  <c r="J24" i="8"/>
  <c r="L15" i="2"/>
  <c r="L34" i="2"/>
  <c r="K34" i="2"/>
  <c r="L34" i="8"/>
  <c r="K28" i="8"/>
  <c r="H5" i="8"/>
  <c r="K7" i="8"/>
  <c r="I38" i="8"/>
  <c r="K24" i="8"/>
  <c r="J20" i="8"/>
  <c r="M34" i="8"/>
  <c r="L28" i="8"/>
  <c r="I5" i="8"/>
  <c r="H4" i="8"/>
  <c r="H17" i="8"/>
  <c r="H40" i="8"/>
  <c r="L7" i="8"/>
  <c r="K4" i="8"/>
  <c r="K17" i="8"/>
  <c r="J38" i="8"/>
  <c r="M28" i="8"/>
  <c r="N34" i="8"/>
  <c r="L24" i="8"/>
  <c r="K20" i="8"/>
  <c r="J5" i="8"/>
  <c r="I4" i="8"/>
  <c r="I17" i="8"/>
  <c r="I40" i="8"/>
  <c r="M7" i="8"/>
  <c r="L4" i="8"/>
  <c r="L17" i="8"/>
  <c r="K38" i="8"/>
  <c r="K40" i="8"/>
  <c r="N28" i="8"/>
  <c r="B34" i="8"/>
  <c r="B28" i="8"/>
  <c r="M24" i="8"/>
  <c r="L20" i="8"/>
  <c r="J4" i="8"/>
  <c r="J17" i="8"/>
  <c r="J40" i="8"/>
  <c r="B38" i="8"/>
  <c r="N7" i="8"/>
  <c r="M4" i="8"/>
  <c r="M17" i="8"/>
  <c r="L38" i="8"/>
  <c r="L40" i="8"/>
  <c r="M20" i="8"/>
  <c r="N24" i="8"/>
  <c r="N20" i="8"/>
  <c r="N38" i="8"/>
  <c r="M38" i="8"/>
  <c r="M40" i="8"/>
  <c r="N5" i="8"/>
  <c r="B5" i="8"/>
  <c r="B4" i="8"/>
  <c r="B17" i="8"/>
  <c r="B40" i="8"/>
  <c r="N4" i="8"/>
  <c r="N17" i="8"/>
  <c r="N40" i="8"/>
</calcChain>
</file>

<file path=xl/comments1.xml><?xml version="1.0" encoding="utf-8"?>
<comments xmlns="http://schemas.openxmlformats.org/spreadsheetml/2006/main">
  <authors>
    <author>jazmin huereca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jazmin huereca:</t>
        </r>
        <r>
          <rPr>
            <sz val="9"/>
            <color indexed="81"/>
            <rFont val="Tahoma"/>
            <family val="2"/>
          </rPr>
          <t xml:space="preserve">
Donativos: 50,000 y 200,000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jazmin huereca:</t>
        </r>
        <r>
          <rPr>
            <sz val="9"/>
            <color indexed="81"/>
            <rFont val="Tahoma"/>
            <family val="2"/>
          </rPr>
          <t xml:space="preserve">
Aumento más donativo de 200,000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jazmin huereca:</t>
        </r>
        <r>
          <rPr>
            <sz val="9"/>
            <color indexed="81"/>
            <rFont val="Tahoma"/>
            <family val="2"/>
          </rPr>
          <t xml:space="preserve">
Agua
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jazmin huereca:</t>
        </r>
        <r>
          <rPr>
            <sz val="9"/>
            <color indexed="81"/>
            <rFont val="Tahoma"/>
            <family val="2"/>
          </rPr>
          <t xml:space="preserve">
Luz y agua</t>
        </r>
      </text>
    </comment>
  </commentList>
</comments>
</file>

<file path=xl/sharedStrings.xml><?xml version="1.0" encoding="utf-8"?>
<sst xmlns="http://schemas.openxmlformats.org/spreadsheetml/2006/main" count="200" uniqueCount="118">
  <si>
    <t>IMSS</t>
  </si>
  <si>
    <t>M2</t>
  </si>
  <si>
    <t>Reja frontal, 43 metros lineales</t>
  </si>
  <si>
    <t>19 ventanas de aluminio</t>
  </si>
  <si>
    <t>Total</t>
  </si>
  <si>
    <t>TOTAL INGRESOS</t>
  </si>
  <si>
    <t>Internet</t>
  </si>
  <si>
    <t>ç</t>
  </si>
  <si>
    <t>REVENUES</t>
  </si>
  <si>
    <t>EXPENSES</t>
  </si>
  <si>
    <t>Events</t>
  </si>
  <si>
    <t>Krispy Kreme Sales</t>
  </si>
  <si>
    <t>Second-hand clothing sale</t>
  </si>
  <si>
    <t>Soirées</t>
  </si>
  <si>
    <t>Luxury Hall Exhibit</t>
  </si>
  <si>
    <t xml:space="preserve">Holocaust Conference </t>
  </si>
  <si>
    <t xml:space="preserve">Children's Parade </t>
  </si>
  <si>
    <t>Gold Party</t>
  </si>
  <si>
    <t xml:space="preserve">Recycling Campaign </t>
  </si>
  <si>
    <t>Sales (gold and silver, sodas, etc)</t>
  </si>
  <si>
    <t>Calls forProposals</t>
  </si>
  <si>
    <t>Monte de Piedad (Medicine)</t>
  </si>
  <si>
    <t>Private Donations</t>
  </si>
  <si>
    <t>In-kind Donations</t>
  </si>
  <si>
    <t>Recurring Charges</t>
  </si>
  <si>
    <t xml:space="preserve">Labelled Donation </t>
  </si>
  <si>
    <t xml:space="preserve">Fundraising Director </t>
  </si>
  <si>
    <t xml:space="preserve">Co-investment </t>
  </si>
  <si>
    <t>Construction</t>
  </si>
  <si>
    <t>Administrative Expenses</t>
  </si>
  <si>
    <t>Salary</t>
  </si>
  <si>
    <t>Stationery</t>
  </si>
  <si>
    <t>Others</t>
  </si>
  <si>
    <t>Medicine</t>
  </si>
  <si>
    <t>CONSTRUCTION</t>
  </si>
  <si>
    <t>Stages</t>
  </si>
  <si>
    <t>Cost MXN</t>
  </si>
  <si>
    <t>Time</t>
  </si>
  <si>
    <t>Piece of land</t>
  </si>
  <si>
    <t xml:space="preserve">65% progress first phase </t>
  </si>
  <si>
    <t>Complete project (Phases 1-4)</t>
  </si>
  <si>
    <t>Donated 2011</t>
  </si>
  <si>
    <t>Begins 2014</t>
  </si>
  <si>
    <t>3 years</t>
  </si>
  <si>
    <t xml:space="preserve">Average rate of monthly inflation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</si>
  <si>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</si>
  <si>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</si>
  <si>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</si>
  <si>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</si>
  <si>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</si>
  <si>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</si>
  <si>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</si>
  <si>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</si>
  <si>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</si>
  <si>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</si>
  <si>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Perimeter wall (The entire piece of land)</t>
  </si>
  <si>
    <t>Water supply connection</t>
  </si>
  <si>
    <t>Light niche</t>
  </si>
  <si>
    <t>Sidewalks, 144 linear metres</t>
  </si>
  <si>
    <t>Guard house</t>
  </si>
  <si>
    <t>Painted drop ceiling</t>
  </si>
  <si>
    <t xml:space="preserve">LED lights built into drop ceiling </t>
  </si>
  <si>
    <t>External floodlights</t>
  </si>
  <si>
    <t xml:space="preserve">Wall plastering and refinement </t>
  </si>
  <si>
    <t>Bathrooms (Furniture and tiles )</t>
  </si>
  <si>
    <t xml:space="preserve">Aluminium windows for offices </t>
  </si>
  <si>
    <t xml:space="preserve">Reception doors and furniture </t>
  </si>
  <si>
    <t xml:space="preserve">Indoor and outdoor painting </t>
  </si>
  <si>
    <t>Floors (placement)</t>
  </si>
  <si>
    <t>1,100-litre water tank</t>
  </si>
  <si>
    <t xml:space="preserve">Hydropneumatic set and water pump  </t>
  </si>
  <si>
    <t>Exterior (parking lot, entrances, landscape, etc)</t>
  </si>
  <si>
    <t xml:space="preserve">Variations based on inflation rate </t>
  </si>
  <si>
    <t>January</t>
  </si>
  <si>
    <t>February</t>
  </si>
  <si>
    <t>TOTAL REVENUES</t>
  </si>
  <si>
    <t xml:space="preserve">CONSTRUCTION CONTRIBUTIONS </t>
  </si>
  <si>
    <t>Donations</t>
  </si>
  <si>
    <t>Labelled Donation</t>
  </si>
  <si>
    <t xml:space="preserve">Revenue from events </t>
  </si>
  <si>
    <t>Revenue from calls</t>
  </si>
  <si>
    <t>Operating Expenses</t>
  </si>
  <si>
    <t>Rent</t>
  </si>
  <si>
    <t>Services</t>
  </si>
  <si>
    <t>TOTAL EXPENSES</t>
  </si>
  <si>
    <t>Donation per consultation</t>
  </si>
  <si>
    <t>Revenue from events</t>
  </si>
  <si>
    <t>Others (Occasional Sales)</t>
  </si>
  <si>
    <t>Recurrent Charges</t>
  </si>
  <si>
    <t xml:space="preserve">Salary Operating Director </t>
  </si>
  <si>
    <t xml:space="preserve">Salary Fundraising Director </t>
  </si>
  <si>
    <t xml:space="preserve">Salary Medical Director </t>
  </si>
  <si>
    <t>Electricity</t>
  </si>
  <si>
    <t>Water</t>
  </si>
  <si>
    <t>Secretary</t>
  </si>
  <si>
    <t>Cleaning Lady</t>
  </si>
  <si>
    <t>Guard</t>
  </si>
  <si>
    <t>Surveillance</t>
  </si>
  <si>
    <t>salaries</t>
  </si>
  <si>
    <t>services</t>
  </si>
  <si>
    <t>salary operating staff</t>
  </si>
  <si>
    <t>medicine</t>
  </si>
  <si>
    <t xml:space="preserve">services </t>
  </si>
  <si>
    <t xml:space="preserve">salary administrative staff </t>
  </si>
  <si>
    <t>stationery</t>
  </si>
  <si>
    <t>others</t>
  </si>
  <si>
    <t>construction</t>
  </si>
  <si>
    <t xml:space="preserve">Revenues from SUM classes </t>
  </si>
  <si>
    <t>Sale Expenses</t>
  </si>
  <si>
    <t>Total Expenses</t>
  </si>
  <si>
    <t>Profit</t>
  </si>
  <si>
    <t>Investment</t>
  </si>
  <si>
    <t>First Phase</t>
  </si>
  <si>
    <t xml:space="preserve">35% balance due first phase </t>
  </si>
  <si>
    <t>BALANCE DUE CONSTRUCTION 2018</t>
  </si>
  <si>
    <t>Balance due</t>
  </si>
  <si>
    <t>Revenue Balance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</si>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</sst>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44" fontId="0" fillId="0" borderId="0" xfId="0" applyNumberFormat="1"/>
    <xf numFmtId="10" fontId="0" fillId="0" borderId="0" xfId="0" applyNumberForma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4" fontId="0" fillId="0" borderId="1" xfId="2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8" xfId="1" applyFont="1" applyBorder="1"/>
    <xf numFmtId="44" fontId="0" fillId="0" borderId="8" xfId="2" applyFont="1" applyBorder="1"/>
    <xf numFmtId="0" fontId="0" fillId="0" borderId="9" xfId="0" applyBorder="1"/>
    <xf numFmtId="17" fontId="0" fillId="0" borderId="1" xfId="0" applyNumberFormat="1" applyBorder="1"/>
    <xf numFmtId="43" fontId="0" fillId="0" borderId="1" xfId="0" applyNumberFormat="1" applyBorder="1"/>
    <xf numFmtId="43" fontId="0" fillId="2" borderId="1" xfId="1" applyFont="1" applyFill="1" applyBorder="1"/>
    <xf numFmtId="43" fontId="0" fillId="0" borderId="6" xfId="0" applyNumberFormat="1" applyBorder="1"/>
    <xf numFmtId="0" fontId="0" fillId="2" borderId="5" xfId="0" applyFill="1" applyBorder="1"/>
    <xf numFmtId="43" fontId="0" fillId="0" borderId="8" xfId="0" applyNumberFormat="1" applyBorder="1"/>
    <xf numFmtId="43" fontId="0" fillId="0" borderId="9" xfId="0" applyNumberFormat="1" applyBorder="1"/>
    <xf numFmtId="9" fontId="0" fillId="0" borderId="0" xfId="0" applyNumberFormat="1"/>
    <xf numFmtId="0" fontId="0" fillId="4" borderId="0" xfId="0" applyFill="1"/>
    <xf numFmtId="0" fontId="0" fillId="4" borderId="13" xfId="0" applyFill="1" applyBorder="1"/>
    <xf numFmtId="0" fontId="0" fillId="4" borderId="14" xfId="0" applyFill="1" applyBorder="1"/>
    <xf numFmtId="0" fontId="0" fillId="0" borderId="15" xfId="0" applyBorder="1"/>
    <xf numFmtId="43" fontId="0" fillId="4" borderId="0" xfId="0" applyNumberFormat="1" applyFill="1"/>
    <xf numFmtId="43" fontId="0" fillId="4" borderId="16" xfId="0" applyNumberFormat="1" applyFill="1" applyBorder="1"/>
    <xf numFmtId="0" fontId="4" fillId="0" borderId="15" xfId="0" applyFont="1" applyBorder="1" applyAlignment="1">
      <alignment horizontal="left" indent="1"/>
    </xf>
    <xf numFmtId="43" fontId="4" fillId="4" borderId="0" xfId="0" applyNumberFormat="1" applyFont="1" applyFill="1"/>
    <xf numFmtId="43" fontId="4" fillId="4" borderId="16" xfId="0" applyNumberFormat="1" applyFont="1" applyFill="1" applyBorder="1"/>
    <xf numFmtId="43" fontId="0" fillId="4" borderId="0" xfId="1" applyFont="1" applyFill="1"/>
    <xf numFmtId="43" fontId="0" fillId="4" borderId="16" xfId="1" applyFont="1" applyFill="1" applyBorder="1"/>
    <xf numFmtId="0" fontId="0" fillId="0" borderId="15" xfId="0" applyBorder="1" applyAlignment="1">
      <alignment horizontal="left"/>
    </xf>
    <xf numFmtId="43" fontId="4" fillId="4" borderId="0" xfId="1" applyFont="1" applyFill="1"/>
    <xf numFmtId="43" fontId="4" fillId="4" borderId="16" xfId="1" applyFont="1" applyFill="1" applyBorder="1"/>
    <xf numFmtId="0" fontId="4" fillId="0" borderId="15" xfId="0" applyFont="1" applyBorder="1"/>
    <xf numFmtId="0" fontId="0" fillId="4" borderId="16" xfId="0" applyFill="1" applyBorder="1"/>
    <xf numFmtId="0" fontId="2" fillId="0" borderId="12" xfId="0" applyFont="1" applyBorder="1"/>
    <xf numFmtId="0" fontId="2" fillId="0" borderId="17" xfId="0" applyFont="1" applyBorder="1" applyAlignment="1">
      <alignment horizontal="left"/>
    </xf>
    <xf numFmtId="43" fontId="2" fillId="4" borderId="18" xfId="0" applyNumberFormat="1" applyFont="1" applyFill="1" applyBorder="1"/>
    <xf numFmtId="43" fontId="2" fillId="4" borderId="19" xfId="0" applyNumberFormat="1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0" xfId="0" applyFont="1" applyFill="1" applyBorder="1"/>
    <xf numFmtId="0" fontId="0" fillId="5" borderId="20" xfId="0" applyFill="1" applyBorder="1"/>
    <xf numFmtId="43" fontId="0" fillId="5" borderId="20" xfId="0" applyNumberFormat="1" applyFill="1" applyBorder="1"/>
    <xf numFmtId="43" fontId="4" fillId="5" borderId="20" xfId="1" applyFont="1" applyFill="1" applyBorder="1" applyAlignment="1">
      <alignment horizontal="left"/>
    </xf>
    <xf numFmtId="43" fontId="4" fillId="5" borderId="20" xfId="1" applyFont="1" applyFill="1" applyBorder="1"/>
    <xf numFmtId="43" fontId="4" fillId="5" borderId="20" xfId="0" applyNumberFormat="1" applyFont="1" applyFill="1" applyBorder="1"/>
    <xf numFmtId="43" fontId="2" fillId="5" borderId="22" xfId="0" applyNumberFormat="1" applyFont="1" applyFill="1" applyBorder="1"/>
    <xf numFmtId="0" fontId="0" fillId="6" borderId="20" xfId="0" applyFill="1" applyBorder="1"/>
    <xf numFmtId="43" fontId="0" fillId="6" borderId="20" xfId="0" applyNumberFormat="1" applyFill="1" applyBorder="1"/>
    <xf numFmtId="43" fontId="4" fillId="6" borderId="20" xfId="1" applyFont="1" applyFill="1" applyBorder="1" applyAlignment="1">
      <alignment horizontal="left"/>
    </xf>
    <xf numFmtId="43" fontId="4" fillId="6" borderId="20" xfId="1" applyFont="1" applyFill="1" applyBorder="1"/>
    <xf numFmtId="43" fontId="4" fillId="6" borderId="20" xfId="0" applyNumberFormat="1" applyFont="1" applyFill="1" applyBorder="1"/>
    <xf numFmtId="43" fontId="2" fillId="6" borderId="22" xfId="0" applyNumberFormat="1" applyFont="1" applyFill="1" applyBorder="1"/>
    <xf numFmtId="43" fontId="2" fillId="5" borderId="20" xfId="1" applyFont="1" applyFill="1" applyBorder="1"/>
    <xf numFmtId="0" fontId="2" fillId="0" borderId="15" xfId="0" applyFont="1" applyBorder="1"/>
    <xf numFmtId="0" fontId="0" fillId="0" borderId="16" xfId="0" applyBorder="1"/>
    <xf numFmtId="0" fontId="2" fillId="0" borderId="20" xfId="0" applyFont="1" applyBorder="1"/>
    <xf numFmtId="43" fontId="2" fillId="6" borderId="20" xfId="1" applyFont="1" applyFill="1" applyBorder="1"/>
    <xf numFmtId="43" fontId="2" fillId="4" borderId="15" xfId="1" applyFont="1" applyFill="1" applyBorder="1"/>
    <xf numFmtId="0" fontId="0" fillId="4" borderId="15" xfId="0" applyFill="1" applyBorder="1"/>
    <xf numFmtId="43" fontId="2" fillId="4" borderId="0" xfId="1" applyFont="1" applyFill="1"/>
    <xf numFmtId="43" fontId="2" fillId="4" borderId="16" xfId="1" applyFont="1" applyFill="1" applyBorder="1"/>
    <xf numFmtId="0" fontId="5" fillId="5" borderId="21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0" fillId="0" borderId="23" xfId="0" applyBorder="1"/>
    <xf numFmtId="0" fontId="0" fillId="4" borderId="23" xfId="0" applyFill="1" applyBorder="1"/>
    <xf numFmtId="43" fontId="4" fillId="3" borderId="20" xfId="1" applyFont="1" applyFill="1" applyBorder="1"/>
    <xf numFmtId="43" fontId="1" fillId="3" borderId="20" xfId="1" applyFill="1" applyBorder="1"/>
    <xf numFmtId="43" fontId="4" fillId="3" borderId="0" xfId="1" applyFont="1" applyFill="1"/>
    <xf numFmtId="0" fontId="8" fillId="3" borderId="15" xfId="0" applyFont="1" applyFill="1" applyBorder="1"/>
    <xf numFmtId="43" fontId="0" fillId="3" borderId="20" xfId="0" applyNumberFormat="1" applyFill="1" applyBorder="1"/>
    <xf numFmtId="43" fontId="0" fillId="3" borderId="0" xfId="1" applyFont="1" applyFill="1"/>
    <xf numFmtId="0" fontId="0" fillId="0" borderId="0" xfId="0" applyAlignment="1">
      <alignment horizontal="center"/>
    </xf>
    <xf numFmtId="0" fontId="9" fillId="3" borderId="15" xfId="0" applyFont="1" applyFill="1" applyBorder="1" applyAlignment="1">
      <alignment horizontal="left"/>
    </xf>
    <xf numFmtId="164" fontId="4" fillId="0" borderId="15" xfId="0" applyNumberFormat="1" applyFont="1" applyBorder="1"/>
    <xf numFmtId="164" fontId="4" fillId="0" borderId="0" xfId="0" applyNumberFormat="1" applyFont="1" applyFill="1" applyBorder="1"/>
    <xf numFmtId="0" fontId="10" fillId="0" borderId="0" xfId="0" applyFont="1" applyBorder="1"/>
    <xf numFmtId="0" fontId="10" fillId="8" borderId="12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6" borderId="21" xfId="0" applyFont="1" applyFill="1" applyBorder="1"/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14" xfId="0" applyFont="1" applyFill="1" applyBorder="1"/>
    <xf numFmtId="0" fontId="10" fillId="0" borderId="15" xfId="0" applyFont="1" applyBorder="1"/>
    <xf numFmtId="164" fontId="10" fillId="0" borderId="20" xfId="0" applyNumberFormat="1" applyFont="1" applyBorder="1"/>
    <xf numFmtId="164" fontId="10" fillId="0" borderId="15" xfId="0" applyNumberFormat="1" applyFont="1" applyBorder="1"/>
    <xf numFmtId="164" fontId="10" fillId="0" borderId="0" xfId="0" applyNumberFormat="1" applyFont="1" applyBorder="1"/>
    <xf numFmtId="164" fontId="10" fillId="0" borderId="16" xfId="0" applyNumberFormat="1" applyFont="1" applyBorder="1"/>
    <xf numFmtId="0" fontId="10" fillId="0" borderId="20" xfId="0" applyFont="1" applyBorder="1"/>
    <xf numFmtId="0" fontId="10" fillId="0" borderId="16" xfId="0" applyFont="1" applyBorder="1"/>
    <xf numFmtId="43" fontId="11" fillId="6" borderId="20" xfId="0" applyNumberFormat="1" applyFont="1" applyFill="1" applyBorder="1"/>
    <xf numFmtId="164" fontId="11" fillId="6" borderId="15" xfId="0" applyNumberFormat="1" applyFont="1" applyFill="1" applyBorder="1"/>
    <xf numFmtId="164" fontId="11" fillId="6" borderId="0" xfId="0" applyNumberFormat="1" applyFont="1" applyFill="1" applyBorder="1"/>
    <xf numFmtId="164" fontId="11" fillId="6" borderId="16" xfId="0" applyNumberFormat="1" applyFont="1" applyFill="1" applyBorder="1"/>
    <xf numFmtId="0" fontId="10" fillId="7" borderId="20" xfId="0" applyFont="1" applyFill="1" applyBorder="1"/>
    <xf numFmtId="0" fontId="10" fillId="7" borderId="15" xfId="0" applyFont="1" applyFill="1" applyBorder="1"/>
    <xf numFmtId="0" fontId="10" fillId="7" borderId="0" xfId="0" applyFont="1" applyFill="1" applyBorder="1"/>
    <xf numFmtId="0" fontId="10" fillId="7" borderId="16" xfId="0" applyFont="1" applyFill="1" applyBorder="1"/>
    <xf numFmtId="0" fontId="10" fillId="0" borderId="0" xfId="0" applyFont="1" applyBorder="1" applyAlignment="1">
      <alignment horizontal="left" indent="1"/>
    </xf>
    <xf numFmtId="164" fontId="11" fillId="7" borderId="22" xfId="0" applyNumberFormat="1" applyFont="1" applyFill="1" applyBorder="1"/>
    <xf numFmtId="164" fontId="11" fillId="7" borderId="17" xfId="0" applyNumberFormat="1" applyFont="1" applyFill="1" applyBorder="1"/>
    <xf numFmtId="164" fontId="11" fillId="7" borderId="18" xfId="0" applyNumberFormat="1" applyFont="1" applyFill="1" applyBorder="1"/>
    <xf numFmtId="164" fontId="11" fillId="7" borderId="19" xfId="0" applyNumberFormat="1" applyFont="1" applyFill="1" applyBorder="1"/>
    <xf numFmtId="43" fontId="12" fillId="9" borderId="0" xfId="1" applyFont="1" applyFill="1" applyBorder="1"/>
    <xf numFmtId="43" fontId="10" fillId="0" borderId="0" xfId="1" applyFont="1" applyBorder="1"/>
    <xf numFmtId="0" fontId="10" fillId="0" borderId="0" xfId="0" applyFont="1" applyBorder="1" applyAlignment="1">
      <alignment wrapText="1"/>
    </xf>
    <xf numFmtId="0" fontId="11" fillId="6" borderId="12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1" fillId="6" borderId="15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0" fontId="11" fillId="7" borderId="17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5"/>
  <sheetViews>
    <sheetView topLeftCell="A13" zoomScale="150" zoomScaleNormal="150" zoomScalePageLayoutView="150" workbookViewId="0">
      <selection activeCell="C36" sqref="C36"/>
    </sheetView>
  </sheetViews>
  <sheetFormatPr baseColWidth="10" defaultColWidth="9.140625" defaultRowHeight="15" x14ac:dyDescent="0.25"/>
  <cols>
    <col min="2" max="2" width="4.140625" customWidth="1"/>
    <col min="3" max="3" width="31.7109375" customWidth="1"/>
    <col min="4" max="4" width="12.140625" bestFit="1" customWidth="1"/>
    <col min="5" max="5" width="13.28515625" bestFit="1" customWidth="1"/>
    <col min="6" max="6" width="13.28515625" hidden="1" customWidth="1"/>
    <col min="7" max="7" width="13.28515625" customWidth="1"/>
    <col min="8" max="19" width="11.42578125" bestFit="1" customWidth="1"/>
  </cols>
  <sheetData>
    <row r="2" spans="2:19" x14ac:dyDescent="0.25">
      <c r="B2" s="124">
        <v>2017</v>
      </c>
      <c r="C2" s="124"/>
      <c r="D2" s="124"/>
      <c r="E2" s="124"/>
      <c r="F2">
        <v>2018</v>
      </c>
    </row>
    <row r="4" spans="2:19" x14ac:dyDescent="0.25">
      <c r="B4" s="3" t="s">
        <v>8</v>
      </c>
      <c r="E4" s="6">
        <f>SUM(E5:E23)</f>
        <v>1643869</v>
      </c>
      <c r="F4" s="6">
        <f>SUM(F5:F23)</f>
        <v>1669869</v>
      </c>
      <c r="G4" s="6"/>
    </row>
    <row r="6" spans="2:19" x14ac:dyDescent="0.25">
      <c r="B6" t="s">
        <v>10</v>
      </c>
      <c r="E6" s="2">
        <f>SUM(D7:D15)</f>
        <v>288737</v>
      </c>
      <c r="F6" s="2">
        <f>E6</f>
        <v>288737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19" x14ac:dyDescent="0.25">
      <c r="B7" s="4">
        <v>7</v>
      </c>
      <c r="C7" s="4" t="s">
        <v>11</v>
      </c>
      <c r="D7" s="5">
        <v>73683</v>
      </c>
    </row>
    <row r="8" spans="2:19" x14ac:dyDescent="0.25">
      <c r="B8" s="4">
        <v>5</v>
      </c>
      <c r="C8" s="4" t="s">
        <v>12</v>
      </c>
      <c r="D8" s="5">
        <v>43730</v>
      </c>
    </row>
    <row r="9" spans="2:19" x14ac:dyDescent="0.25">
      <c r="B9" s="4">
        <v>2</v>
      </c>
      <c r="C9" s="4" t="s">
        <v>13</v>
      </c>
      <c r="D9" s="5">
        <v>85216</v>
      </c>
    </row>
    <row r="10" spans="2:19" x14ac:dyDescent="0.25">
      <c r="B10" s="4">
        <v>1</v>
      </c>
      <c r="C10" s="4" t="s">
        <v>14</v>
      </c>
      <c r="D10" s="5">
        <v>12000</v>
      </c>
    </row>
    <row r="11" spans="2:19" x14ac:dyDescent="0.25">
      <c r="B11" s="4">
        <v>1</v>
      </c>
      <c r="C11" s="4" t="s">
        <v>15</v>
      </c>
      <c r="D11" s="5">
        <v>20865</v>
      </c>
    </row>
    <row r="12" spans="2:19" x14ac:dyDescent="0.25">
      <c r="B12" s="4">
        <v>1</v>
      </c>
      <c r="C12" s="4" t="s">
        <v>16</v>
      </c>
      <c r="D12" s="5">
        <v>42030</v>
      </c>
    </row>
    <row r="13" spans="2:19" x14ac:dyDescent="0.25">
      <c r="B13" s="4">
        <v>1</v>
      </c>
      <c r="C13" s="4" t="s">
        <v>17</v>
      </c>
      <c r="D13" s="5">
        <v>4251</v>
      </c>
    </row>
    <row r="14" spans="2:19" x14ac:dyDescent="0.25">
      <c r="B14" s="4">
        <v>1</v>
      </c>
      <c r="C14" s="4" t="s">
        <v>18</v>
      </c>
      <c r="D14" s="5">
        <v>1687</v>
      </c>
    </row>
    <row r="15" spans="2:19" x14ac:dyDescent="0.25">
      <c r="B15" s="4"/>
      <c r="C15" s="4" t="s">
        <v>19</v>
      </c>
      <c r="D15" s="5">
        <v>5275</v>
      </c>
    </row>
    <row r="16" spans="2:19" x14ac:dyDescent="0.25">
      <c r="B16" t="s">
        <v>20</v>
      </c>
      <c r="E16" s="1">
        <v>114000</v>
      </c>
      <c r="F16" s="1">
        <v>140000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x14ac:dyDescent="0.25">
      <c r="C17" s="4" t="s">
        <v>21</v>
      </c>
      <c r="E17" s="1"/>
    </row>
    <row r="18" spans="2:19" x14ac:dyDescent="0.25">
      <c r="B18" t="s">
        <v>22</v>
      </c>
      <c r="E18" s="1">
        <v>554181</v>
      </c>
      <c r="F18" s="1">
        <v>554181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x14ac:dyDescent="0.25">
      <c r="B19" t="s">
        <v>23</v>
      </c>
      <c r="E19" s="1">
        <v>459650</v>
      </c>
      <c r="F19" s="1">
        <v>459650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2:19" x14ac:dyDescent="0.25">
      <c r="B20" t="s">
        <v>24</v>
      </c>
      <c r="E20" s="1">
        <v>10590.8</v>
      </c>
      <c r="F20" s="1">
        <v>10590.8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x14ac:dyDescent="0.25">
      <c r="B21" t="s">
        <v>25</v>
      </c>
      <c r="E21" s="1">
        <v>90000</v>
      </c>
      <c r="F21" s="1">
        <v>90000</v>
      </c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x14ac:dyDescent="0.25">
      <c r="C22" s="4" t="s">
        <v>26</v>
      </c>
      <c r="E22" s="1"/>
    </row>
    <row r="23" spans="2:19" x14ac:dyDescent="0.25">
      <c r="B23" t="s">
        <v>27</v>
      </c>
      <c r="E23" s="1">
        <v>126710.2</v>
      </c>
      <c r="F23" s="1">
        <v>126710.2</v>
      </c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6" spans="2:19" x14ac:dyDescent="0.25">
      <c r="B26" s="3" t="s">
        <v>9</v>
      </c>
      <c r="C26" s="3"/>
      <c r="D26" s="3"/>
      <c r="E26" s="6">
        <f>E4</f>
        <v>1643869</v>
      </c>
    </row>
    <row r="28" spans="2:19" x14ac:dyDescent="0.25">
      <c r="B28" t="s">
        <v>28</v>
      </c>
      <c r="E28" s="1">
        <f>E26*0.77</f>
        <v>1265779.1300000001</v>
      </c>
    </row>
    <row r="29" spans="2:19" x14ac:dyDescent="0.25">
      <c r="B29" t="s">
        <v>29</v>
      </c>
      <c r="E29" s="1">
        <f>E26*0.13</f>
        <v>213702.97</v>
      </c>
    </row>
    <row r="30" spans="2:19" x14ac:dyDescent="0.25">
      <c r="C30" s="4" t="s">
        <v>30</v>
      </c>
      <c r="D30" s="5">
        <f>96000+80000</f>
        <v>176000</v>
      </c>
    </row>
    <row r="31" spans="2:19" x14ac:dyDescent="0.25">
      <c r="C31" s="4" t="s">
        <v>31</v>
      </c>
      <c r="D31" s="5">
        <v>4278</v>
      </c>
    </row>
    <row r="32" spans="2:19" x14ac:dyDescent="0.25">
      <c r="C32" s="4" t="s">
        <v>0</v>
      </c>
      <c r="D32" s="5">
        <v>20505</v>
      </c>
    </row>
    <row r="33" spans="2:8" x14ac:dyDescent="0.25">
      <c r="C33" s="4" t="s">
        <v>32</v>
      </c>
      <c r="D33" s="5">
        <f>E29-D30-D31-D32</f>
        <v>12919.970000000001</v>
      </c>
    </row>
    <row r="34" spans="2:8" x14ac:dyDescent="0.25">
      <c r="B34" t="s">
        <v>33</v>
      </c>
      <c r="E34" s="1">
        <f>E26*0.1</f>
        <v>164386.90000000002</v>
      </c>
      <c r="H34" s="1"/>
    </row>
    <row r="35" spans="2:8" x14ac:dyDescent="0.25">
      <c r="C35" s="2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opLeftCell="A8" zoomScale="150" zoomScaleNormal="150" zoomScalePageLayoutView="150" workbookViewId="0">
      <selection activeCell="B36" sqref="B36"/>
    </sheetView>
  </sheetViews>
  <sheetFormatPr baseColWidth="10" defaultColWidth="9.140625" defaultRowHeight="15" x14ac:dyDescent="0.25"/>
  <cols>
    <col min="2" max="2" width="49.85546875" bestFit="1" customWidth="1"/>
    <col min="3" max="3" width="13.28515625" bestFit="1" customWidth="1"/>
    <col min="4" max="4" width="15.28515625" bestFit="1" customWidth="1"/>
    <col min="5" max="15" width="13.28515625" bestFit="1" customWidth="1"/>
  </cols>
  <sheetData>
    <row r="1" spans="2:12" ht="15.75" thickBot="1" x14ac:dyDescent="0.3"/>
    <row r="2" spans="2:12" x14ac:dyDescent="0.25">
      <c r="B2" s="125" t="s">
        <v>34</v>
      </c>
      <c r="C2" s="126"/>
      <c r="D2" s="126"/>
      <c r="E2" s="127"/>
    </row>
    <row r="3" spans="2:12" x14ac:dyDescent="0.25">
      <c r="B3" s="13" t="s">
        <v>35</v>
      </c>
      <c r="C3" s="9" t="s">
        <v>1</v>
      </c>
      <c r="D3" s="9" t="s">
        <v>36</v>
      </c>
      <c r="E3" s="14" t="s">
        <v>37</v>
      </c>
      <c r="G3" t="s">
        <v>44</v>
      </c>
    </row>
    <row r="4" spans="2:12" x14ac:dyDescent="0.25">
      <c r="B4" s="15" t="s">
        <v>38</v>
      </c>
      <c r="C4" s="11">
        <v>5000</v>
      </c>
      <c r="D4" s="12">
        <v>11000000</v>
      </c>
      <c r="E4" s="16" t="s">
        <v>41</v>
      </c>
      <c r="G4" s="8">
        <v>4.5999999999999999E-3</v>
      </c>
    </row>
    <row r="5" spans="2:12" x14ac:dyDescent="0.25">
      <c r="B5" s="15" t="s">
        <v>112</v>
      </c>
      <c r="C5" s="11">
        <v>470</v>
      </c>
      <c r="D5" s="12">
        <v>8110940</v>
      </c>
      <c r="E5" s="16" t="s">
        <v>42</v>
      </c>
      <c r="F5" s="7"/>
    </row>
    <row r="6" spans="2:12" x14ac:dyDescent="0.25">
      <c r="B6" s="15" t="s">
        <v>39</v>
      </c>
      <c r="C6" s="11"/>
      <c r="D6" s="12">
        <v>5240000</v>
      </c>
      <c r="E6" s="16" t="s">
        <v>43</v>
      </c>
      <c r="F6" s="7"/>
    </row>
    <row r="7" spans="2:12" x14ac:dyDescent="0.25">
      <c r="B7" s="15" t="s">
        <v>113</v>
      </c>
      <c r="C7" s="11"/>
      <c r="D7" s="12">
        <v>2870940</v>
      </c>
      <c r="E7" s="16">
        <v>2018</v>
      </c>
    </row>
    <row r="8" spans="2:12" ht="15.75" thickBot="1" x14ac:dyDescent="0.3">
      <c r="B8" s="17" t="s">
        <v>40</v>
      </c>
      <c r="C8" s="18">
        <v>1635</v>
      </c>
      <c r="D8" s="19">
        <v>25000000</v>
      </c>
      <c r="E8" s="20"/>
    </row>
    <row r="10" spans="2:12" ht="15.75" thickBot="1" x14ac:dyDescent="0.3"/>
    <row r="11" spans="2:12" x14ac:dyDescent="0.25">
      <c r="B11" s="125" t="s">
        <v>114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7"/>
    </row>
    <row r="12" spans="2:12" x14ac:dyDescent="0.25">
      <c r="B12" s="15"/>
      <c r="C12" s="21" t="s">
        <v>45</v>
      </c>
      <c r="D12" s="10" t="s">
        <v>46</v>
      </c>
      <c r="E12" s="10" t="s">
        <v>47</v>
      </c>
      <c r="F12" s="10" t="s">
        <v>48</v>
      </c>
      <c r="G12" s="10" t="s">
        <v>49</v>
      </c>
      <c r="H12" s="10" t="s">
        <v>50</v>
      </c>
      <c r="I12" s="10" t="s">
        <v>51</v>
      </c>
      <c r="J12" s="10" t="s">
        <v>52</v>
      </c>
      <c r="K12" s="10" t="s">
        <v>53</v>
      </c>
      <c r="L12" s="16" t="s">
        <v>54</v>
      </c>
    </row>
    <row r="13" spans="2:12" x14ac:dyDescent="0.25">
      <c r="B13" s="15"/>
      <c r="C13" s="10"/>
      <c r="D13" s="10"/>
      <c r="E13" s="10"/>
      <c r="F13" s="10"/>
      <c r="G13" s="10"/>
      <c r="H13" s="10"/>
      <c r="I13" s="10"/>
      <c r="J13" s="10"/>
      <c r="K13" s="10"/>
      <c r="L13" s="16"/>
    </row>
    <row r="14" spans="2:12" x14ac:dyDescent="0.25">
      <c r="B14" s="15" t="s">
        <v>55</v>
      </c>
      <c r="C14" s="11">
        <v>1100000</v>
      </c>
      <c r="D14" s="22">
        <f>C14*1+$G$4</f>
        <v>1100000.0046000001</v>
      </c>
      <c r="E14" s="22">
        <f t="shared" ref="E14:L14" si="0">D14*1+$G$4</f>
        <v>1100000.0092000002</v>
      </c>
      <c r="F14" s="22">
        <f t="shared" si="0"/>
        <v>1100000.0138000003</v>
      </c>
      <c r="G14" s="22">
        <f t="shared" si="0"/>
        <v>1100000.0184000004</v>
      </c>
      <c r="H14" s="22">
        <f t="shared" si="0"/>
        <v>1100000.0230000005</v>
      </c>
      <c r="I14" s="22">
        <f t="shared" si="0"/>
        <v>1100000.0276000006</v>
      </c>
      <c r="J14" s="22">
        <f t="shared" si="0"/>
        <v>1100000.0322000007</v>
      </c>
      <c r="K14" s="22">
        <f t="shared" si="0"/>
        <v>1100000.0368000008</v>
      </c>
      <c r="L14" s="24">
        <f t="shared" si="0"/>
        <v>1100000.0414000009</v>
      </c>
    </row>
    <row r="15" spans="2:12" hidden="1" x14ac:dyDescent="0.25">
      <c r="B15" s="25" t="s">
        <v>2</v>
      </c>
      <c r="C15" s="23">
        <v>2000000</v>
      </c>
      <c r="D15" s="22">
        <f t="shared" ref="D15:D32" si="1">C15*1+$G$4</f>
        <v>2000000.0046000001</v>
      </c>
      <c r="E15" s="22">
        <f t="shared" ref="E15:L24" si="2">D15*1+$G$4</f>
        <v>2000000.0092000002</v>
      </c>
      <c r="F15" s="22">
        <f t="shared" si="2"/>
        <v>2000000.0138000003</v>
      </c>
      <c r="G15" s="22">
        <f t="shared" si="2"/>
        <v>2000000.0184000004</v>
      </c>
      <c r="H15" s="22">
        <f t="shared" si="2"/>
        <v>2000000.0230000005</v>
      </c>
      <c r="I15" s="22">
        <f t="shared" si="2"/>
        <v>2000000.0276000006</v>
      </c>
      <c r="J15" s="22">
        <f t="shared" si="2"/>
        <v>2000000.0322000007</v>
      </c>
      <c r="K15" s="22">
        <f t="shared" si="2"/>
        <v>2000000.0368000008</v>
      </c>
      <c r="L15" s="24">
        <f t="shared" si="2"/>
        <v>2000000.0414000009</v>
      </c>
    </row>
    <row r="16" spans="2:12" hidden="1" x14ac:dyDescent="0.25">
      <c r="B16" s="25" t="s">
        <v>3</v>
      </c>
      <c r="C16" s="23">
        <v>37000</v>
      </c>
      <c r="D16" s="22">
        <f t="shared" si="1"/>
        <v>37000.0046</v>
      </c>
      <c r="E16" s="22">
        <f t="shared" si="2"/>
        <v>37000.0092</v>
      </c>
      <c r="F16" s="22">
        <f t="shared" si="2"/>
        <v>37000.013800000001</v>
      </c>
      <c r="G16" s="22">
        <f t="shared" si="2"/>
        <v>37000.018400000001</v>
      </c>
      <c r="H16" s="22">
        <f t="shared" si="2"/>
        <v>37000.023000000001</v>
      </c>
      <c r="I16" s="22">
        <f t="shared" si="2"/>
        <v>37000.027600000001</v>
      </c>
      <c r="J16" s="22">
        <f t="shared" si="2"/>
        <v>37000.032200000001</v>
      </c>
      <c r="K16" s="22">
        <f t="shared" si="2"/>
        <v>37000.036800000002</v>
      </c>
      <c r="L16" s="24">
        <f t="shared" si="2"/>
        <v>37000.041400000002</v>
      </c>
    </row>
    <row r="17" spans="2:12" x14ac:dyDescent="0.25">
      <c r="B17" s="15" t="s">
        <v>56</v>
      </c>
      <c r="C17" s="11">
        <v>200000</v>
      </c>
      <c r="D17" s="22">
        <f t="shared" si="1"/>
        <v>200000.00459999999</v>
      </c>
      <c r="E17" s="22">
        <f t="shared" si="2"/>
        <v>200000.00919999997</v>
      </c>
      <c r="F17" s="22">
        <f t="shared" si="2"/>
        <v>200000.01379999996</v>
      </c>
      <c r="G17" s="22">
        <f t="shared" si="2"/>
        <v>200000.01839999994</v>
      </c>
      <c r="H17" s="22">
        <f t="shared" si="2"/>
        <v>200000.02299999993</v>
      </c>
      <c r="I17" s="22">
        <f t="shared" si="2"/>
        <v>200000.02759999991</v>
      </c>
      <c r="J17" s="22">
        <f t="shared" si="2"/>
        <v>200000.0321999999</v>
      </c>
      <c r="K17" s="22">
        <f t="shared" si="2"/>
        <v>200000.03679999989</v>
      </c>
      <c r="L17" s="24">
        <f t="shared" si="2"/>
        <v>200000.04139999987</v>
      </c>
    </row>
    <row r="18" spans="2:12" x14ac:dyDescent="0.25">
      <c r="B18" s="15" t="s">
        <v>57</v>
      </c>
      <c r="C18" s="11">
        <v>10000</v>
      </c>
      <c r="D18" s="22">
        <f t="shared" si="1"/>
        <v>10000.0046</v>
      </c>
      <c r="E18" s="22">
        <f t="shared" si="2"/>
        <v>10000.0092</v>
      </c>
      <c r="F18" s="22">
        <f t="shared" si="2"/>
        <v>10000.013800000001</v>
      </c>
      <c r="G18" s="22">
        <f t="shared" si="2"/>
        <v>10000.018400000001</v>
      </c>
      <c r="H18" s="22">
        <f t="shared" si="2"/>
        <v>10000.023000000001</v>
      </c>
      <c r="I18" s="22">
        <f t="shared" si="2"/>
        <v>10000.027600000001</v>
      </c>
      <c r="J18" s="22">
        <f t="shared" si="2"/>
        <v>10000.032200000001</v>
      </c>
      <c r="K18" s="22">
        <f t="shared" si="2"/>
        <v>10000.036800000002</v>
      </c>
      <c r="L18" s="24">
        <f t="shared" si="2"/>
        <v>10000.041400000002</v>
      </c>
    </row>
    <row r="19" spans="2:12" x14ac:dyDescent="0.25">
      <c r="B19" s="15" t="s">
        <v>58</v>
      </c>
      <c r="C19" s="11">
        <v>20000</v>
      </c>
      <c r="D19" s="22">
        <f t="shared" si="1"/>
        <v>20000.0046</v>
      </c>
      <c r="E19" s="22">
        <f t="shared" si="2"/>
        <v>20000.0092</v>
      </c>
      <c r="F19" s="22">
        <f t="shared" si="2"/>
        <v>20000.013800000001</v>
      </c>
      <c r="G19" s="22">
        <f t="shared" si="2"/>
        <v>20000.018400000001</v>
      </c>
      <c r="H19" s="22">
        <f t="shared" si="2"/>
        <v>20000.023000000001</v>
      </c>
      <c r="I19" s="22">
        <f t="shared" si="2"/>
        <v>20000.027600000001</v>
      </c>
      <c r="J19" s="22">
        <f t="shared" si="2"/>
        <v>20000.032200000001</v>
      </c>
      <c r="K19" s="22">
        <f t="shared" si="2"/>
        <v>20000.036800000002</v>
      </c>
      <c r="L19" s="24">
        <f t="shared" si="2"/>
        <v>20000.041400000002</v>
      </c>
    </row>
    <row r="20" spans="2:12" x14ac:dyDescent="0.25">
      <c r="B20" s="15" t="s">
        <v>59</v>
      </c>
      <c r="C20" s="11">
        <v>30000</v>
      </c>
      <c r="D20" s="22">
        <f t="shared" si="1"/>
        <v>30000.0046</v>
      </c>
      <c r="E20" s="22">
        <f t="shared" si="2"/>
        <v>30000.0092</v>
      </c>
      <c r="F20" s="22">
        <f t="shared" si="2"/>
        <v>30000.013800000001</v>
      </c>
      <c r="G20" s="22">
        <f t="shared" si="2"/>
        <v>30000.018400000001</v>
      </c>
      <c r="H20" s="22">
        <f t="shared" si="2"/>
        <v>30000.023000000001</v>
      </c>
      <c r="I20" s="22">
        <f t="shared" si="2"/>
        <v>30000.027600000001</v>
      </c>
      <c r="J20" s="22">
        <f t="shared" si="2"/>
        <v>30000.032200000001</v>
      </c>
      <c r="K20" s="22">
        <f t="shared" si="2"/>
        <v>30000.036800000002</v>
      </c>
      <c r="L20" s="24">
        <f t="shared" si="2"/>
        <v>30000.041400000002</v>
      </c>
    </row>
    <row r="21" spans="2:12" x14ac:dyDescent="0.25">
      <c r="B21" s="15" t="s">
        <v>60</v>
      </c>
      <c r="C21" s="11">
        <v>184440</v>
      </c>
      <c r="D21" s="22">
        <f t="shared" si="1"/>
        <v>184440.00459999999</v>
      </c>
      <c r="E21" s="22">
        <f t="shared" si="2"/>
        <v>184440.00919999997</v>
      </c>
      <c r="F21" s="22">
        <f t="shared" si="2"/>
        <v>184440.01379999996</v>
      </c>
      <c r="G21" s="22">
        <f t="shared" si="2"/>
        <v>184440.01839999994</v>
      </c>
      <c r="H21" s="22">
        <f t="shared" si="2"/>
        <v>184440.02299999993</v>
      </c>
      <c r="I21" s="22">
        <f t="shared" si="2"/>
        <v>184440.02759999991</v>
      </c>
      <c r="J21" s="22">
        <f t="shared" si="2"/>
        <v>184440.0321999999</v>
      </c>
      <c r="K21" s="22">
        <f t="shared" si="2"/>
        <v>184440.03679999989</v>
      </c>
      <c r="L21" s="24">
        <f t="shared" si="2"/>
        <v>184440.04139999987</v>
      </c>
    </row>
    <row r="22" spans="2:12" x14ac:dyDescent="0.25">
      <c r="B22" s="15" t="s">
        <v>61</v>
      </c>
      <c r="C22" s="11">
        <v>56000</v>
      </c>
      <c r="D22" s="22">
        <f t="shared" si="1"/>
        <v>56000.0046</v>
      </c>
      <c r="E22" s="22">
        <f t="shared" si="2"/>
        <v>56000.0092</v>
      </c>
      <c r="F22" s="22">
        <f t="shared" si="2"/>
        <v>56000.013800000001</v>
      </c>
      <c r="G22" s="22">
        <f t="shared" si="2"/>
        <v>56000.018400000001</v>
      </c>
      <c r="H22" s="22">
        <f t="shared" si="2"/>
        <v>56000.023000000001</v>
      </c>
      <c r="I22" s="22">
        <f t="shared" si="2"/>
        <v>56000.027600000001</v>
      </c>
      <c r="J22" s="22">
        <f t="shared" si="2"/>
        <v>56000.032200000001</v>
      </c>
      <c r="K22" s="22">
        <f t="shared" si="2"/>
        <v>56000.036800000002</v>
      </c>
      <c r="L22" s="24">
        <f t="shared" si="2"/>
        <v>56000.041400000002</v>
      </c>
    </row>
    <row r="23" spans="2:12" x14ac:dyDescent="0.25">
      <c r="B23" s="15" t="s">
        <v>62</v>
      </c>
      <c r="C23" s="11">
        <v>37800</v>
      </c>
      <c r="D23" s="22">
        <f t="shared" si="1"/>
        <v>37800.0046</v>
      </c>
      <c r="E23" s="22">
        <f t="shared" si="2"/>
        <v>37800.0092</v>
      </c>
      <c r="F23" s="22">
        <f t="shared" si="2"/>
        <v>37800.013800000001</v>
      </c>
      <c r="G23" s="22">
        <f t="shared" si="2"/>
        <v>37800.018400000001</v>
      </c>
      <c r="H23" s="22">
        <f t="shared" si="2"/>
        <v>37800.023000000001</v>
      </c>
      <c r="I23" s="22">
        <f t="shared" si="2"/>
        <v>37800.027600000001</v>
      </c>
      <c r="J23" s="22">
        <f t="shared" si="2"/>
        <v>37800.032200000001</v>
      </c>
      <c r="K23" s="22">
        <f t="shared" si="2"/>
        <v>37800.036800000002</v>
      </c>
      <c r="L23" s="24">
        <f t="shared" si="2"/>
        <v>37800.041400000002</v>
      </c>
    </row>
    <row r="24" spans="2:12" x14ac:dyDescent="0.25">
      <c r="B24" s="15" t="s">
        <v>63</v>
      </c>
      <c r="C24" s="11">
        <v>60000</v>
      </c>
      <c r="D24" s="22">
        <f t="shared" si="1"/>
        <v>60000.0046</v>
      </c>
      <c r="E24" s="22">
        <f t="shared" si="2"/>
        <v>60000.0092</v>
      </c>
      <c r="F24" s="22">
        <f t="shared" si="2"/>
        <v>60000.013800000001</v>
      </c>
      <c r="G24" s="22">
        <f t="shared" si="2"/>
        <v>60000.018400000001</v>
      </c>
      <c r="H24" s="22">
        <f t="shared" si="2"/>
        <v>60000.023000000001</v>
      </c>
      <c r="I24" s="22">
        <f t="shared" si="2"/>
        <v>60000.027600000001</v>
      </c>
      <c r="J24" s="22">
        <f t="shared" si="2"/>
        <v>60000.032200000001</v>
      </c>
      <c r="K24" s="22">
        <f t="shared" si="2"/>
        <v>60000.036800000002</v>
      </c>
      <c r="L24" s="24">
        <f t="shared" si="2"/>
        <v>60000.041400000002</v>
      </c>
    </row>
    <row r="25" spans="2:12" x14ac:dyDescent="0.25">
      <c r="B25" s="15" t="s">
        <v>64</v>
      </c>
      <c r="C25" s="11">
        <v>80000</v>
      </c>
      <c r="D25" s="22">
        <f t="shared" si="1"/>
        <v>80000.0046</v>
      </c>
      <c r="E25" s="22">
        <f t="shared" ref="E25:L32" si="3">D25*1+$G$4</f>
        <v>80000.0092</v>
      </c>
      <c r="F25" s="22">
        <f t="shared" si="3"/>
        <v>80000.013800000001</v>
      </c>
      <c r="G25" s="22">
        <f t="shared" si="3"/>
        <v>80000.018400000001</v>
      </c>
      <c r="H25" s="22">
        <f t="shared" si="3"/>
        <v>80000.023000000001</v>
      </c>
      <c r="I25" s="22">
        <f t="shared" si="3"/>
        <v>80000.027600000001</v>
      </c>
      <c r="J25" s="22">
        <f t="shared" si="3"/>
        <v>80000.032200000001</v>
      </c>
      <c r="K25" s="22">
        <f t="shared" si="3"/>
        <v>80000.036800000002</v>
      </c>
      <c r="L25" s="24">
        <f t="shared" si="3"/>
        <v>80000.041400000002</v>
      </c>
    </row>
    <row r="26" spans="2:12" x14ac:dyDescent="0.25">
      <c r="B26" s="15" t="s">
        <v>65</v>
      </c>
      <c r="C26" s="11">
        <v>20000</v>
      </c>
      <c r="D26" s="22">
        <f t="shared" si="1"/>
        <v>20000.0046</v>
      </c>
      <c r="E26" s="22">
        <f t="shared" si="3"/>
        <v>20000.0092</v>
      </c>
      <c r="F26" s="22">
        <f t="shared" si="3"/>
        <v>20000.013800000001</v>
      </c>
      <c r="G26" s="22">
        <f t="shared" si="3"/>
        <v>20000.018400000001</v>
      </c>
      <c r="H26" s="22">
        <f t="shared" si="3"/>
        <v>20000.023000000001</v>
      </c>
      <c r="I26" s="22">
        <f t="shared" si="3"/>
        <v>20000.027600000001</v>
      </c>
      <c r="J26" s="22">
        <f t="shared" si="3"/>
        <v>20000.032200000001</v>
      </c>
      <c r="K26" s="22">
        <f t="shared" si="3"/>
        <v>20000.036800000002</v>
      </c>
      <c r="L26" s="24">
        <f t="shared" si="3"/>
        <v>20000.041400000002</v>
      </c>
    </row>
    <row r="27" spans="2:12" x14ac:dyDescent="0.25">
      <c r="B27" s="15" t="s">
        <v>66</v>
      </c>
      <c r="C27" s="11">
        <v>79500</v>
      </c>
      <c r="D27" s="22">
        <f t="shared" si="1"/>
        <v>79500.0046</v>
      </c>
      <c r="E27" s="22">
        <f t="shared" si="3"/>
        <v>79500.0092</v>
      </c>
      <c r="F27" s="22">
        <f t="shared" si="3"/>
        <v>79500.013800000001</v>
      </c>
      <c r="G27" s="22">
        <f t="shared" si="3"/>
        <v>79500.018400000001</v>
      </c>
      <c r="H27" s="22">
        <f t="shared" si="3"/>
        <v>79500.023000000001</v>
      </c>
      <c r="I27" s="22">
        <f t="shared" si="3"/>
        <v>79500.027600000001</v>
      </c>
      <c r="J27" s="22">
        <f t="shared" si="3"/>
        <v>79500.032200000001</v>
      </c>
      <c r="K27" s="22">
        <f t="shared" si="3"/>
        <v>79500.036800000002</v>
      </c>
      <c r="L27" s="24">
        <f t="shared" si="3"/>
        <v>79500.041400000002</v>
      </c>
    </row>
    <row r="28" spans="2:12" x14ac:dyDescent="0.25">
      <c r="B28" s="15" t="s">
        <v>67</v>
      </c>
      <c r="C28" s="11">
        <v>238000</v>
      </c>
      <c r="D28" s="22">
        <f t="shared" si="1"/>
        <v>238000.00459999999</v>
      </c>
      <c r="E28" s="22">
        <f t="shared" si="3"/>
        <v>238000.00919999997</v>
      </c>
      <c r="F28" s="22">
        <f t="shared" si="3"/>
        <v>238000.01379999996</v>
      </c>
      <c r="G28" s="22">
        <f t="shared" si="3"/>
        <v>238000.01839999994</v>
      </c>
      <c r="H28" s="22">
        <f t="shared" si="3"/>
        <v>238000.02299999993</v>
      </c>
      <c r="I28" s="22">
        <f t="shared" si="3"/>
        <v>238000.02759999991</v>
      </c>
      <c r="J28" s="22">
        <f t="shared" si="3"/>
        <v>238000.0321999999</v>
      </c>
      <c r="K28" s="22">
        <f t="shared" si="3"/>
        <v>238000.03679999989</v>
      </c>
      <c r="L28" s="24">
        <f t="shared" si="3"/>
        <v>238000.04139999987</v>
      </c>
    </row>
    <row r="29" spans="2:12" x14ac:dyDescent="0.25">
      <c r="B29" s="15" t="s">
        <v>68</v>
      </c>
      <c r="C29" s="11">
        <v>75000</v>
      </c>
      <c r="D29" s="22">
        <f t="shared" si="1"/>
        <v>75000.0046</v>
      </c>
      <c r="E29" s="22">
        <f t="shared" si="3"/>
        <v>75000.0092</v>
      </c>
      <c r="F29" s="22">
        <f t="shared" si="3"/>
        <v>75000.013800000001</v>
      </c>
      <c r="G29" s="22">
        <f t="shared" si="3"/>
        <v>75000.018400000001</v>
      </c>
      <c r="H29" s="22">
        <f t="shared" si="3"/>
        <v>75000.023000000001</v>
      </c>
      <c r="I29" s="22">
        <f t="shared" si="3"/>
        <v>75000.027600000001</v>
      </c>
      <c r="J29" s="22">
        <f t="shared" si="3"/>
        <v>75000.032200000001</v>
      </c>
      <c r="K29" s="22">
        <f t="shared" si="3"/>
        <v>75000.036800000002</v>
      </c>
      <c r="L29" s="24">
        <f t="shared" si="3"/>
        <v>75000.041400000002</v>
      </c>
    </row>
    <row r="30" spans="2:12" x14ac:dyDescent="0.25">
      <c r="B30" s="15" t="s">
        <v>69</v>
      </c>
      <c r="C30" s="11">
        <v>2700</v>
      </c>
      <c r="D30" s="22">
        <f t="shared" si="1"/>
        <v>2700.0046000000002</v>
      </c>
      <c r="E30" s="22">
        <f t="shared" si="3"/>
        <v>2700.0092000000004</v>
      </c>
      <c r="F30" s="22">
        <f t="shared" si="3"/>
        <v>2700.0138000000006</v>
      </c>
      <c r="G30" s="22">
        <f t="shared" si="3"/>
        <v>2700.0184000000008</v>
      </c>
      <c r="H30" s="22">
        <f t="shared" si="3"/>
        <v>2700.023000000001</v>
      </c>
      <c r="I30" s="22">
        <f t="shared" si="3"/>
        <v>2700.0276000000013</v>
      </c>
      <c r="J30" s="22">
        <f t="shared" si="3"/>
        <v>2700.0322000000015</v>
      </c>
      <c r="K30" s="22">
        <f t="shared" si="3"/>
        <v>2700.0368000000017</v>
      </c>
      <c r="L30" s="24">
        <f t="shared" si="3"/>
        <v>2700.0414000000019</v>
      </c>
    </row>
    <row r="31" spans="2:12" x14ac:dyDescent="0.25">
      <c r="B31" s="15" t="s">
        <v>70</v>
      </c>
      <c r="C31" s="11">
        <v>10500</v>
      </c>
      <c r="D31" s="22">
        <f t="shared" si="1"/>
        <v>10500.0046</v>
      </c>
      <c r="E31" s="22">
        <f t="shared" si="3"/>
        <v>10500.0092</v>
      </c>
      <c r="F31" s="22">
        <f t="shared" si="3"/>
        <v>10500.013800000001</v>
      </c>
      <c r="G31" s="22">
        <f t="shared" si="3"/>
        <v>10500.018400000001</v>
      </c>
      <c r="H31" s="22">
        <f t="shared" si="3"/>
        <v>10500.023000000001</v>
      </c>
      <c r="I31" s="22">
        <f t="shared" si="3"/>
        <v>10500.027600000001</v>
      </c>
      <c r="J31" s="22">
        <f t="shared" si="3"/>
        <v>10500.032200000001</v>
      </c>
      <c r="K31" s="22">
        <f t="shared" si="3"/>
        <v>10500.036800000002</v>
      </c>
      <c r="L31" s="24">
        <f t="shared" si="3"/>
        <v>10500.041400000002</v>
      </c>
    </row>
    <row r="32" spans="2:12" ht="15.75" thickBot="1" x14ac:dyDescent="0.3">
      <c r="B32" s="17" t="s">
        <v>71</v>
      </c>
      <c r="C32" s="18">
        <v>430000</v>
      </c>
      <c r="D32" s="26">
        <f t="shared" si="1"/>
        <v>430000.00459999999</v>
      </c>
      <c r="E32" s="26">
        <f t="shared" si="3"/>
        <v>430000.00919999997</v>
      </c>
      <c r="F32" s="26">
        <f t="shared" si="3"/>
        <v>430000.01379999996</v>
      </c>
      <c r="G32" s="26">
        <f t="shared" si="3"/>
        <v>430000.01839999994</v>
      </c>
      <c r="H32" s="26">
        <f t="shared" si="3"/>
        <v>430000.02299999993</v>
      </c>
      <c r="I32" s="26">
        <f t="shared" si="3"/>
        <v>430000.02759999991</v>
      </c>
      <c r="J32" s="26">
        <f t="shared" si="3"/>
        <v>430000.0321999999</v>
      </c>
      <c r="K32" s="26">
        <f t="shared" si="3"/>
        <v>430000.03679999989</v>
      </c>
      <c r="L32" s="27">
        <f t="shared" si="3"/>
        <v>430000.04139999987</v>
      </c>
    </row>
    <row r="34" spans="2:12" x14ac:dyDescent="0.25">
      <c r="B34" t="s">
        <v>4</v>
      </c>
      <c r="C34" s="2">
        <f>SUM(C14:C32)-C15-C16</f>
        <v>2633940</v>
      </c>
      <c r="D34" s="2">
        <f t="shared" ref="D34:L34" si="4">SUM(D14:D32)-D15-D16</f>
        <v>2633940.0782000003</v>
      </c>
      <c r="E34" s="2">
        <f t="shared" si="4"/>
        <v>2633940.1564000035</v>
      </c>
      <c r="F34" s="2">
        <f t="shared" si="4"/>
        <v>2633940.2345999978</v>
      </c>
      <c r="G34" s="2">
        <f t="shared" si="4"/>
        <v>2633940.3128</v>
      </c>
      <c r="H34" s="2">
        <f t="shared" si="4"/>
        <v>2633940.3910000012</v>
      </c>
      <c r="I34" s="2">
        <f t="shared" si="4"/>
        <v>2633940.4692000006</v>
      </c>
      <c r="J34" s="2">
        <f t="shared" si="4"/>
        <v>2633940.5473999986</v>
      </c>
      <c r="K34" s="2">
        <f t="shared" si="4"/>
        <v>2633940.625599999</v>
      </c>
      <c r="L34" s="2">
        <f t="shared" si="4"/>
        <v>2633940.7038000012</v>
      </c>
    </row>
    <row r="36" spans="2:12" x14ac:dyDescent="0.25">
      <c r="B36" t="s">
        <v>72</v>
      </c>
    </row>
  </sheetData>
  <mergeCells count="2">
    <mergeCell ref="B2:E2"/>
    <mergeCell ref="B11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opLeftCell="B10" zoomScale="150" zoomScaleNormal="150" zoomScalePageLayoutView="150" workbookViewId="0">
      <selection activeCell="B34" sqref="B34"/>
    </sheetView>
  </sheetViews>
  <sheetFormatPr baseColWidth="10" defaultColWidth="9.140625" defaultRowHeight="15" x14ac:dyDescent="0.25"/>
  <cols>
    <col min="1" max="1" width="0" hidden="1" customWidth="1"/>
    <col min="2" max="2" width="31.140625" customWidth="1"/>
    <col min="3" max="3" width="13.7109375" customWidth="1"/>
    <col min="4" max="4" width="15" customWidth="1"/>
    <col min="5" max="16" width="12.42578125" customWidth="1"/>
  </cols>
  <sheetData>
    <row r="1" spans="1:16" ht="16.5" thickBot="1" x14ac:dyDescent="0.3">
      <c r="C1" s="73">
        <v>2017</v>
      </c>
      <c r="D1" s="74">
        <v>2018</v>
      </c>
      <c r="E1" s="128">
        <v>2018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</row>
    <row r="2" spans="1:16" ht="15.75" thickBot="1" x14ac:dyDescent="0.3">
      <c r="C2" s="52"/>
      <c r="D2" s="58"/>
      <c r="E2" s="51" t="s">
        <v>73</v>
      </c>
      <c r="F2" s="49" t="s">
        <v>74</v>
      </c>
      <c r="G2" s="49" t="s">
        <v>45</v>
      </c>
      <c r="H2" s="49" t="s">
        <v>46</v>
      </c>
      <c r="I2" s="49" t="s">
        <v>47</v>
      </c>
      <c r="J2" s="49" t="s">
        <v>48</v>
      </c>
      <c r="K2" s="49" t="s">
        <v>49</v>
      </c>
      <c r="L2" s="49" t="s">
        <v>50</v>
      </c>
      <c r="M2" s="49" t="s">
        <v>51</v>
      </c>
      <c r="N2" s="49" t="s">
        <v>52</v>
      </c>
      <c r="O2" s="49" t="s">
        <v>53</v>
      </c>
      <c r="P2" s="50" t="s">
        <v>54</v>
      </c>
    </row>
    <row r="3" spans="1:16" x14ac:dyDescent="0.25">
      <c r="B3" s="45" t="s">
        <v>8</v>
      </c>
      <c r="C3" s="52"/>
      <c r="D3" s="58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x14ac:dyDescent="0.25">
      <c r="B4" s="32" t="s">
        <v>77</v>
      </c>
      <c r="C4" s="53">
        <f>SUM(C5:C7)</f>
        <v>1133831</v>
      </c>
      <c r="D4" s="59">
        <f>SUM(E4:P4)</f>
        <v>1451688</v>
      </c>
      <c r="E4" s="33">
        <f>SUM(E5:E7)</f>
        <v>70716.458333333343</v>
      </c>
      <c r="F4" s="33">
        <f>SUM(F5:F7)</f>
        <v>70716.458333333343</v>
      </c>
      <c r="G4" s="33">
        <f t="shared" ref="G4:P4" si="0">SUM(G5:G7)</f>
        <v>320716.45833333331</v>
      </c>
      <c r="H4" s="33">
        <f t="shared" si="0"/>
        <v>160716.45833333334</v>
      </c>
      <c r="I4" s="33">
        <f t="shared" si="0"/>
        <v>66716.458333333343</v>
      </c>
      <c r="J4" s="33">
        <f t="shared" si="0"/>
        <v>60716.458333333336</v>
      </c>
      <c r="K4" s="33">
        <f t="shared" si="0"/>
        <v>116898.20833333334</v>
      </c>
      <c r="L4" s="33">
        <f t="shared" si="0"/>
        <v>116898.20833333334</v>
      </c>
      <c r="M4" s="33">
        <f t="shared" si="0"/>
        <v>116898.20833333334</v>
      </c>
      <c r="N4" s="33">
        <f t="shared" si="0"/>
        <v>116898.20833333334</v>
      </c>
      <c r="O4" s="33">
        <f t="shared" si="0"/>
        <v>116898.20833333334</v>
      </c>
      <c r="P4" s="34">
        <f t="shared" si="0"/>
        <v>116898.20833333334</v>
      </c>
    </row>
    <row r="5" spans="1:16" x14ac:dyDescent="0.25">
      <c r="B5" s="35" t="s">
        <v>22</v>
      </c>
      <c r="C5" s="54">
        <v>554181</v>
      </c>
      <c r="D5" s="60">
        <f>SUM(E5:P5)</f>
        <v>633090.5</v>
      </c>
      <c r="E5" s="36">
        <v>0</v>
      </c>
      <c r="F5" s="36">
        <v>0</v>
      </c>
      <c r="G5" s="36">
        <v>250000</v>
      </c>
      <c r="H5" s="36">
        <v>100000</v>
      </c>
      <c r="I5" s="36">
        <v>6000</v>
      </c>
      <c r="J5" s="36">
        <v>0</v>
      </c>
      <c r="K5" s="36">
        <f>($C$5/12)</f>
        <v>46181.75</v>
      </c>
      <c r="L5" s="36">
        <f t="shared" ref="L5:P5" si="1">($C$5/12)</f>
        <v>46181.75</v>
      </c>
      <c r="M5" s="36">
        <f t="shared" si="1"/>
        <v>46181.75</v>
      </c>
      <c r="N5" s="36">
        <f t="shared" si="1"/>
        <v>46181.75</v>
      </c>
      <c r="O5" s="36">
        <f t="shared" si="1"/>
        <v>46181.75</v>
      </c>
      <c r="P5" s="36">
        <f t="shared" si="1"/>
        <v>46181.75</v>
      </c>
    </row>
    <row r="6" spans="1:16" x14ac:dyDescent="0.25">
      <c r="A6" s="28">
        <v>0.15</v>
      </c>
      <c r="B6" s="35" t="s">
        <v>23</v>
      </c>
      <c r="C6" s="54">
        <v>459650</v>
      </c>
      <c r="D6" s="60">
        <f>(C6*(1+A6))+200000</f>
        <v>728597.5</v>
      </c>
      <c r="E6" s="36">
        <f>$D$6/12</f>
        <v>60716.458333333336</v>
      </c>
      <c r="F6" s="36">
        <f t="shared" ref="F6:P6" si="2">$D$6/12</f>
        <v>60716.458333333336</v>
      </c>
      <c r="G6" s="36">
        <f t="shared" si="2"/>
        <v>60716.458333333336</v>
      </c>
      <c r="H6" s="36">
        <f>$D$6/12</f>
        <v>60716.458333333336</v>
      </c>
      <c r="I6" s="36">
        <f t="shared" si="2"/>
        <v>60716.458333333336</v>
      </c>
      <c r="J6" s="36">
        <f t="shared" si="2"/>
        <v>60716.458333333336</v>
      </c>
      <c r="K6" s="36">
        <f t="shared" si="2"/>
        <v>60716.458333333336</v>
      </c>
      <c r="L6" s="36">
        <f t="shared" si="2"/>
        <v>60716.458333333336</v>
      </c>
      <c r="M6" s="36">
        <f t="shared" si="2"/>
        <v>60716.458333333336</v>
      </c>
      <c r="N6" s="36">
        <f t="shared" si="2"/>
        <v>60716.458333333336</v>
      </c>
      <c r="O6" s="36">
        <f t="shared" si="2"/>
        <v>60716.458333333336</v>
      </c>
      <c r="P6" s="37">
        <f t="shared" si="2"/>
        <v>60716.458333333336</v>
      </c>
    </row>
    <row r="7" spans="1:16" x14ac:dyDescent="0.25">
      <c r="B7" s="35" t="s">
        <v>78</v>
      </c>
      <c r="C7" s="54">
        <v>120000</v>
      </c>
      <c r="D7" s="60">
        <f>SUM(E7:P7)</f>
        <v>90000</v>
      </c>
      <c r="E7" s="36">
        <v>10000</v>
      </c>
      <c r="F7" s="36">
        <v>10000</v>
      </c>
      <c r="G7" s="36">
        <f t="shared" ref="G7" si="3">$C$7/12</f>
        <v>10000</v>
      </c>
      <c r="H7" s="36">
        <v>0</v>
      </c>
      <c r="I7" s="36">
        <v>0</v>
      </c>
      <c r="J7" s="36">
        <v>0</v>
      </c>
      <c r="K7" s="36">
        <v>10000</v>
      </c>
      <c r="L7" s="36">
        <v>10000</v>
      </c>
      <c r="M7" s="36">
        <v>10000</v>
      </c>
      <c r="N7" s="36">
        <v>10000</v>
      </c>
      <c r="O7" s="36">
        <v>10000</v>
      </c>
      <c r="P7" s="36">
        <v>10000</v>
      </c>
    </row>
    <row r="8" spans="1:16" x14ac:dyDescent="0.25">
      <c r="B8" s="32" t="s">
        <v>79</v>
      </c>
      <c r="C8" s="53">
        <f>RevenuesvsExpenses!E6</f>
        <v>288737</v>
      </c>
      <c r="D8" s="59">
        <f>C8</f>
        <v>288737</v>
      </c>
      <c r="E8" s="33">
        <f>$C$8/12</f>
        <v>24061.416666666668</v>
      </c>
      <c r="F8" s="33">
        <f t="shared" ref="F8:P8" si="4">$C$8/12</f>
        <v>24061.416666666668</v>
      </c>
      <c r="G8" s="33">
        <f t="shared" si="4"/>
        <v>24061.416666666668</v>
      </c>
      <c r="H8" s="33">
        <f t="shared" si="4"/>
        <v>24061.416666666668</v>
      </c>
      <c r="I8" s="33">
        <f t="shared" si="4"/>
        <v>24061.416666666668</v>
      </c>
      <c r="J8" s="33">
        <f t="shared" si="4"/>
        <v>24061.416666666668</v>
      </c>
      <c r="K8" s="33">
        <f t="shared" si="4"/>
        <v>24061.416666666668</v>
      </c>
      <c r="L8" s="33">
        <f t="shared" si="4"/>
        <v>24061.416666666668</v>
      </c>
      <c r="M8" s="33">
        <f t="shared" si="4"/>
        <v>24061.416666666668</v>
      </c>
      <c r="N8" s="33">
        <f t="shared" si="4"/>
        <v>24061.416666666668</v>
      </c>
      <c r="O8" s="33">
        <f t="shared" si="4"/>
        <v>24061.416666666668</v>
      </c>
      <c r="P8" s="34">
        <f t="shared" si="4"/>
        <v>24061.416666666668</v>
      </c>
    </row>
    <row r="9" spans="1:16" x14ac:dyDescent="0.25">
      <c r="B9" s="32" t="s">
        <v>80</v>
      </c>
      <c r="C9" s="53">
        <f>RevenuesvsExpenses!E16</f>
        <v>114000</v>
      </c>
      <c r="D9" s="59">
        <f>SUM(E9:P9)</f>
        <v>121000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121000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9">
        <v>0</v>
      </c>
    </row>
    <row r="10" spans="1:16" x14ac:dyDescent="0.25">
      <c r="B10" s="40" t="s">
        <v>32</v>
      </c>
      <c r="C10" s="53">
        <f>C11+C12</f>
        <v>137301</v>
      </c>
      <c r="D10" s="59">
        <f>SUM(E10:P10)</f>
        <v>147891.79999999999</v>
      </c>
      <c r="E10" s="33">
        <f>SUM(E11+E12)</f>
        <v>12324.316666666666</v>
      </c>
      <c r="F10" s="33">
        <f t="shared" ref="F10:P10" si="5">SUM(F11+F12)</f>
        <v>12324.316666666666</v>
      </c>
      <c r="G10" s="33">
        <f t="shared" si="5"/>
        <v>12324.316666666666</v>
      </c>
      <c r="H10" s="33">
        <f t="shared" si="5"/>
        <v>12324.316666666666</v>
      </c>
      <c r="I10" s="33">
        <f t="shared" si="5"/>
        <v>12324.316666666666</v>
      </c>
      <c r="J10" s="33">
        <f t="shared" si="5"/>
        <v>12324.316666666666</v>
      </c>
      <c r="K10" s="33">
        <f t="shared" si="5"/>
        <v>12324.316666666666</v>
      </c>
      <c r="L10" s="33">
        <f t="shared" si="5"/>
        <v>12324.316666666666</v>
      </c>
      <c r="M10" s="33">
        <f t="shared" si="5"/>
        <v>12324.316666666666</v>
      </c>
      <c r="N10" s="33">
        <f t="shared" si="5"/>
        <v>12324.316666666666</v>
      </c>
      <c r="O10" s="33">
        <f t="shared" si="5"/>
        <v>12324.316666666666</v>
      </c>
      <c r="P10" s="34">
        <f t="shared" si="5"/>
        <v>12324.316666666666</v>
      </c>
    </row>
    <row r="11" spans="1:16" x14ac:dyDescent="0.25">
      <c r="A11" s="28">
        <v>1</v>
      </c>
      <c r="B11" s="35" t="s">
        <v>24</v>
      </c>
      <c r="C11" s="55">
        <v>10590.8</v>
      </c>
      <c r="D11" s="61">
        <f>C11*(1+A11)</f>
        <v>21181.599999999999</v>
      </c>
      <c r="E11" s="36">
        <f>$D$11/12</f>
        <v>1765.1333333333332</v>
      </c>
      <c r="F11" s="36">
        <f t="shared" ref="F11:P11" si="6">$D$11/12</f>
        <v>1765.1333333333332</v>
      </c>
      <c r="G11" s="36">
        <f t="shared" si="6"/>
        <v>1765.1333333333332</v>
      </c>
      <c r="H11" s="36">
        <f t="shared" si="6"/>
        <v>1765.1333333333332</v>
      </c>
      <c r="I11" s="36">
        <f t="shared" si="6"/>
        <v>1765.1333333333332</v>
      </c>
      <c r="J11" s="36">
        <f t="shared" si="6"/>
        <v>1765.1333333333332</v>
      </c>
      <c r="K11" s="36">
        <f t="shared" si="6"/>
        <v>1765.1333333333332</v>
      </c>
      <c r="L11" s="36">
        <f t="shared" si="6"/>
        <v>1765.1333333333332</v>
      </c>
      <c r="M11" s="36">
        <f t="shared" si="6"/>
        <v>1765.1333333333332</v>
      </c>
      <c r="N11" s="36">
        <f t="shared" si="6"/>
        <v>1765.1333333333332</v>
      </c>
      <c r="O11" s="36">
        <f t="shared" si="6"/>
        <v>1765.1333333333332</v>
      </c>
      <c r="P11" s="37">
        <f t="shared" si="6"/>
        <v>1765.1333333333332</v>
      </c>
    </row>
    <row r="12" spans="1:16" x14ac:dyDescent="0.25">
      <c r="B12" s="35" t="s">
        <v>27</v>
      </c>
      <c r="C12" s="55">
        <v>126710.2</v>
      </c>
      <c r="D12" s="61">
        <f>C12</f>
        <v>126710.2</v>
      </c>
      <c r="E12" s="36">
        <f>$C$12/12</f>
        <v>10559.183333333332</v>
      </c>
      <c r="F12" s="36">
        <f t="shared" ref="F12:P12" si="7">$C$12/12</f>
        <v>10559.183333333332</v>
      </c>
      <c r="G12" s="36">
        <f t="shared" si="7"/>
        <v>10559.183333333332</v>
      </c>
      <c r="H12" s="36">
        <f t="shared" si="7"/>
        <v>10559.183333333332</v>
      </c>
      <c r="I12" s="36">
        <f t="shared" si="7"/>
        <v>10559.183333333332</v>
      </c>
      <c r="J12" s="36">
        <f t="shared" si="7"/>
        <v>10559.183333333332</v>
      </c>
      <c r="K12" s="36">
        <f t="shared" si="7"/>
        <v>10559.183333333332</v>
      </c>
      <c r="L12" s="36">
        <f t="shared" si="7"/>
        <v>10559.183333333332</v>
      </c>
      <c r="M12" s="36">
        <f t="shared" si="7"/>
        <v>10559.183333333332</v>
      </c>
      <c r="N12" s="36">
        <f t="shared" si="7"/>
        <v>10559.183333333332</v>
      </c>
      <c r="O12" s="36">
        <f t="shared" si="7"/>
        <v>10559.183333333332</v>
      </c>
      <c r="P12" s="37">
        <f t="shared" si="7"/>
        <v>10559.183333333332</v>
      </c>
    </row>
    <row r="13" spans="1:16" x14ac:dyDescent="0.25">
      <c r="B13" s="80" t="s">
        <v>76</v>
      </c>
      <c r="C13" s="77">
        <v>0</v>
      </c>
      <c r="D13" s="78">
        <v>2931715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f>$D$13/6</f>
        <v>488619.16666666669</v>
      </c>
      <c r="L13" s="79">
        <f t="shared" ref="L13:P13" si="8">$D$13/6</f>
        <v>488619.16666666669</v>
      </c>
      <c r="M13" s="79">
        <f t="shared" si="8"/>
        <v>488619.16666666669</v>
      </c>
      <c r="N13" s="79">
        <f t="shared" si="8"/>
        <v>488619.16666666669</v>
      </c>
      <c r="O13" s="79">
        <f t="shared" si="8"/>
        <v>488619.16666666669</v>
      </c>
      <c r="P13" s="79">
        <f t="shared" si="8"/>
        <v>488619.16666666669</v>
      </c>
    </row>
    <row r="14" spans="1:16" x14ac:dyDescent="0.25">
      <c r="B14" s="43"/>
      <c r="C14" s="55"/>
      <c r="D14" s="61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4"/>
    </row>
    <row r="15" spans="1:16" x14ac:dyDescent="0.25">
      <c r="B15" s="65" t="s">
        <v>75</v>
      </c>
      <c r="C15" s="64">
        <f>SUM(C4+C8+C9+C10+C13)</f>
        <v>1673869</v>
      </c>
      <c r="D15" s="68">
        <f t="shared" ref="D15:P15" si="9">SUM(D4+D8+D9+D10+D13)</f>
        <v>4941031.8</v>
      </c>
      <c r="E15" s="69">
        <f>SUM(E4+E8+E9+E10+E13)</f>
        <v>107102.19166666668</v>
      </c>
      <c r="F15" s="71">
        <f t="shared" si="9"/>
        <v>107102.19166666668</v>
      </c>
      <c r="G15" s="71">
        <f t="shared" si="9"/>
        <v>357102.19166666665</v>
      </c>
      <c r="H15" s="71">
        <f t="shared" si="9"/>
        <v>197102.19166666665</v>
      </c>
      <c r="I15" s="71">
        <f t="shared" si="9"/>
        <v>103102.19166666668</v>
      </c>
      <c r="J15" s="71">
        <f t="shared" si="9"/>
        <v>218102.19166666665</v>
      </c>
      <c r="K15" s="71">
        <f t="shared" si="9"/>
        <v>641903.1083333334</v>
      </c>
      <c r="L15" s="71">
        <f t="shared" si="9"/>
        <v>641903.1083333334</v>
      </c>
      <c r="M15" s="71">
        <f t="shared" si="9"/>
        <v>641903.1083333334</v>
      </c>
      <c r="N15" s="71">
        <f t="shared" si="9"/>
        <v>641903.1083333334</v>
      </c>
      <c r="O15" s="71">
        <f t="shared" si="9"/>
        <v>641903.1083333334</v>
      </c>
      <c r="P15" s="72">
        <f t="shared" si="9"/>
        <v>641903.1083333334</v>
      </c>
    </row>
    <row r="16" spans="1:16" x14ac:dyDescent="0.25">
      <c r="A16" s="75"/>
      <c r="B16" s="66"/>
      <c r="C16" s="52"/>
      <c r="D16" s="5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76"/>
    </row>
    <row r="17" spans="1:16" x14ac:dyDescent="0.25">
      <c r="B17" s="67" t="s">
        <v>9</v>
      </c>
      <c r="C17" s="52"/>
      <c r="D17" s="58"/>
      <c r="E17" s="70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4"/>
    </row>
    <row r="18" spans="1:16" x14ac:dyDescent="0.25">
      <c r="B18" s="32" t="s">
        <v>81</v>
      </c>
      <c r="C18" s="53">
        <f>SUM(C19:C21)</f>
        <v>164386.90000000002</v>
      </c>
      <c r="D18" s="59">
        <f>SUM(E18:P18)</f>
        <v>232025.59000000003</v>
      </c>
      <c r="E18" s="33">
        <f>SUM(E19:E21)</f>
        <v>8038.6900000000051</v>
      </c>
      <c r="F18" s="33">
        <f t="shared" ref="F18:P18" si="10">SUM(F19:F21)</f>
        <v>8038.6900000000051</v>
      </c>
      <c r="G18" s="33">
        <f t="shared" si="10"/>
        <v>8038.6900000000051</v>
      </c>
      <c r="H18" s="33">
        <f t="shared" si="10"/>
        <v>8038.6900000000051</v>
      </c>
      <c r="I18" s="33">
        <f t="shared" si="10"/>
        <v>8038.6900000000051</v>
      </c>
      <c r="J18" s="33">
        <f t="shared" si="10"/>
        <v>123600</v>
      </c>
      <c r="K18" s="33">
        <f t="shared" si="10"/>
        <v>10538.690000000006</v>
      </c>
      <c r="L18" s="33">
        <f t="shared" si="10"/>
        <v>11538.690000000006</v>
      </c>
      <c r="M18" s="33">
        <f t="shared" si="10"/>
        <v>11538.690000000006</v>
      </c>
      <c r="N18" s="33">
        <f t="shared" si="10"/>
        <v>11538.690000000006</v>
      </c>
      <c r="O18" s="33">
        <f t="shared" si="10"/>
        <v>11538.690000000006</v>
      </c>
      <c r="P18" s="34">
        <f t="shared" si="10"/>
        <v>11538.690000000006</v>
      </c>
    </row>
    <row r="19" spans="1:16" x14ac:dyDescent="0.25">
      <c r="A19" s="28">
        <v>0.1</v>
      </c>
      <c r="B19" s="35" t="s">
        <v>33</v>
      </c>
      <c r="C19" s="56">
        <f>RevenuesvsExpenses!E34</f>
        <v>164386.90000000002</v>
      </c>
      <c r="D19" s="62">
        <f>C19*(1+A19)</f>
        <v>180825.59000000005</v>
      </c>
      <c r="E19" s="36">
        <f>($D$19-$J$19)/11</f>
        <v>5438.6900000000051</v>
      </c>
      <c r="F19" s="36">
        <f t="shared" ref="F19:I19" si="11">($D$19-$J$19)/11</f>
        <v>5438.6900000000051</v>
      </c>
      <c r="G19" s="36">
        <f t="shared" si="11"/>
        <v>5438.6900000000051</v>
      </c>
      <c r="H19" s="36">
        <f t="shared" si="11"/>
        <v>5438.6900000000051</v>
      </c>
      <c r="I19" s="36">
        <f t="shared" si="11"/>
        <v>5438.6900000000051</v>
      </c>
      <c r="J19" s="36">
        <f>J9</f>
        <v>121000</v>
      </c>
      <c r="K19" s="36">
        <f>($D$19-$J$19)/11</f>
        <v>5438.6900000000051</v>
      </c>
      <c r="L19" s="36">
        <f t="shared" ref="L19:P19" si="12">($D$19-$J$19)/11</f>
        <v>5438.6900000000051</v>
      </c>
      <c r="M19" s="36">
        <f t="shared" si="12"/>
        <v>5438.6900000000051</v>
      </c>
      <c r="N19" s="36">
        <f t="shared" si="12"/>
        <v>5438.6900000000051</v>
      </c>
      <c r="O19" s="36">
        <f t="shared" si="12"/>
        <v>5438.6900000000051</v>
      </c>
      <c r="P19" s="36">
        <f t="shared" si="12"/>
        <v>5438.6900000000051</v>
      </c>
    </row>
    <row r="20" spans="1:16" x14ac:dyDescent="0.25">
      <c r="B20" s="35" t="s">
        <v>82</v>
      </c>
      <c r="C20" s="56">
        <v>0</v>
      </c>
      <c r="D20" s="62">
        <f>SUM(E20:P20)</f>
        <v>31200</v>
      </c>
      <c r="E20" s="41">
        <v>2600</v>
      </c>
      <c r="F20" s="41">
        <v>2600</v>
      </c>
      <c r="G20" s="41">
        <v>2600</v>
      </c>
      <c r="H20" s="41">
        <v>2600</v>
      </c>
      <c r="I20" s="41">
        <v>2600</v>
      </c>
      <c r="J20" s="41">
        <v>2600</v>
      </c>
      <c r="K20" s="41">
        <v>2600</v>
      </c>
      <c r="L20" s="41">
        <v>2600</v>
      </c>
      <c r="M20" s="41">
        <v>2600</v>
      </c>
      <c r="N20" s="41">
        <v>2600</v>
      </c>
      <c r="O20" s="41">
        <v>2600</v>
      </c>
      <c r="P20" s="42">
        <v>2600</v>
      </c>
    </row>
    <row r="21" spans="1:16" x14ac:dyDescent="0.25">
      <c r="B21" s="35" t="s">
        <v>83</v>
      </c>
      <c r="C21" s="56">
        <v>0</v>
      </c>
      <c r="D21" s="62">
        <f>SUM(E21:P21)</f>
        <v>20000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8">
        <v>2500</v>
      </c>
      <c r="L21" s="38">
        <f>2500+1000</f>
        <v>3500</v>
      </c>
      <c r="M21" s="38">
        <f t="shared" ref="M21:P21" si="13">2500+1000</f>
        <v>3500</v>
      </c>
      <c r="N21" s="38">
        <f t="shared" si="13"/>
        <v>3500</v>
      </c>
      <c r="O21" s="38">
        <f t="shared" si="13"/>
        <v>3500</v>
      </c>
      <c r="P21" s="39">
        <f t="shared" si="13"/>
        <v>3500</v>
      </c>
    </row>
    <row r="22" spans="1:16" x14ac:dyDescent="0.25">
      <c r="B22" s="32" t="s">
        <v>29</v>
      </c>
      <c r="C22" s="53">
        <f>SUM(C23:C26)</f>
        <v>213702.97</v>
      </c>
      <c r="D22" s="59">
        <f>SUM(E22:P22)</f>
        <v>224130.77</v>
      </c>
      <c r="E22" s="33">
        <f t="shared" ref="E22:P22" si="14">SUM(E23:E26)</f>
        <v>17844.230833333331</v>
      </c>
      <c r="F22" s="33">
        <f t="shared" si="14"/>
        <v>17844.230833333331</v>
      </c>
      <c r="G22" s="33">
        <f t="shared" si="14"/>
        <v>17844.230833333331</v>
      </c>
      <c r="H22" s="33">
        <f t="shared" si="14"/>
        <v>17844.230833333331</v>
      </c>
      <c r="I22" s="33">
        <f t="shared" si="14"/>
        <v>17844.230833333331</v>
      </c>
      <c r="J22" s="33">
        <f t="shared" si="14"/>
        <v>17844.230833333331</v>
      </c>
      <c r="K22" s="33">
        <f t="shared" si="14"/>
        <v>17844.230833333331</v>
      </c>
      <c r="L22" s="33">
        <f t="shared" si="14"/>
        <v>19844.230833333331</v>
      </c>
      <c r="M22" s="33">
        <f t="shared" si="14"/>
        <v>19844.230833333331</v>
      </c>
      <c r="N22" s="33">
        <f t="shared" si="14"/>
        <v>19844.230833333331</v>
      </c>
      <c r="O22" s="33">
        <f t="shared" si="14"/>
        <v>19844.230833333331</v>
      </c>
      <c r="P22" s="34">
        <f t="shared" si="14"/>
        <v>19844.230833333331</v>
      </c>
    </row>
    <row r="23" spans="1:16" x14ac:dyDescent="0.25">
      <c r="B23" s="35" t="s">
        <v>30</v>
      </c>
      <c r="C23" s="55">
        <f>RevenuesvsExpenses!D30</f>
        <v>176000</v>
      </c>
      <c r="D23" s="61">
        <f>SUM(E23:P23)</f>
        <v>185999.99999999997</v>
      </c>
      <c r="E23" s="36">
        <f>$C$23/12</f>
        <v>14666.666666666666</v>
      </c>
      <c r="F23" s="36">
        <f t="shared" ref="F23:I23" si="15">$C$23/12</f>
        <v>14666.666666666666</v>
      </c>
      <c r="G23" s="36">
        <f t="shared" si="15"/>
        <v>14666.666666666666</v>
      </c>
      <c r="H23" s="36">
        <f t="shared" si="15"/>
        <v>14666.666666666666</v>
      </c>
      <c r="I23" s="36">
        <f t="shared" si="15"/>
        <v>14666.666666666666</v>
      </c>
      <c r="J23" s="36">
        <f>$C$23/12</f>
        <v>14666.666666666666</v>
      </c>
      <c r="K23" s="36">
        <f>$C$23/12</f>
        <v>14666.666666666666</v>
      </c>
      <c r="L23" s="36">
        <f t="shared" ref="L23:P23" si="16">$C$23/12+2000</f>
        <v>16666.666666666664</v>
      </c>
      <c r="M23" s="36">
        <f t="shared" si="16"/>
        <v>16666.666666666664</v>
      </c>
      <c r="N23" s="36">
        <f t="shared" si="16"/>
        <v>16666.666666666664</v>
      </c>
      <c r="O23" s="36">
        <f t="shared" si="16"/>
        <v>16666.666666666664</v>
      </c>
      <c r="P23" s="37">
        <f t="shared" si="16"/>
        <v>16666.666666666664</v>
      </c>
    </row>
    <row r="24" spans="1:16" x14ac:dyDescent="0.25">
      <c r="A24" s="28">
        <v>0.1</v>
      </c>
      <c r="B24" s="35" t="s">
        <v>31</v>
      </c>
      <c r="C24" s="55">
        <v>4278</v>
      </c>
      <c r="D24" s="61">
        <f>C24*(1+A24)</f>
        <v>4705.8</v>
      </c>
      <c r="E24" s="36">
        <f>$D$24/12</f>
        <v>392.15000000000003</v>
      </c>
      <c r="F24" s="36">
        <f t="shared" ref="F24:P24" si="17">$D$24/12</f>
        <v>392.15000000000003</v>
      </c>
      <c r="G24" s="36">
        <f>$D$24/12</f>
        <v>392.15000000000003</v>
      </c>
      <c r="H24" s="36">
        <f t="shared" si="17"/>
        <v>392.15000000000003</v>
      </c>
      <c r="I24" s="36">
        <f t="shared" si="17"/>
        <v>392.15000000000003</v>
      </c>
      <c r="J24" s="36">
        <f t="shared" si="17"/>
        <v>392.15000000000003</v>
      </c>
      <c r="K24" s="36">
        <f t="shared" si="17"/>
        <v>392.15000000000003</v>
      </c>
      <c r="L24" s="36">
        <f t="shared" si="17"/>
        <v>392.15000000000003</v>
      </c>
      <c r="M24" s="36">
        <f t="shared" si="17"/>
        <v>392.15000000000003</v>
      </c>
      <c r="N24" s="36">
        <f t="shared" si="17"/>
        <v>392.15000000000003</v>
      </c>
      <c r="O24" s="36">
        <f t="shared" si="17"/>
        <v>392.15000000000003</v>
      </c>
      <c r="P24" s="37">
        <f t="shared" si="17"/>
        <v>392.15000000000003</v>
      </c>
    </row>
    <row r="25" spans="1:16" x14ac:dyDescent="0.25">
      <c r="B25" s="35" t="s">
        <v>0</v>
      </c>
      <c r="C25" s="55">
        <v>20505</v>
      </c>
      <c r="D25" s="61">
        <f>C25</f>
        <v>20505</v>
      </c>
      <c r="E25" s="36">
        <f>$C$25/12</f>
        <v>1708.75</v>
      </c>
      <c r="F25" s="36">
        <f t="shared" ref="F25:P25" si="18">$C$25/12</f>
        <v>1708.75</v>
      </c>
      <c r="G25" s="36">
        <f t="shared" si="18"/>
        <v>1708.75</v>
      </c>
      <c r="H25" s="36">
        <f t="shared" si="18"/>
        <v>1708.75</v>
      </c>
      <c r="I25" s="36">
        <f t="shared" si="18"/>
        <v>1708.75</v>
      </c>
      <c r="J25" s="36">
        <f t="shared" si="18"/>
        <v>1708.75</v>
      </c>
      <c r="K25" s="36">
        <f t="shared" si="18"/>
        <v>1708.75</v>
      </c>
      <c r="L25" s="36">
        <f t="shared" si="18"/>
        <v>1708.75</v>
      </c>
      <c r="M25" s="36">
        <f t="shared" si="18"/>
        <v>1708.75</v>
      </c>
      <c r="N25" s="36">
        <f t="shared" si="18"/>
        <v>1708.75</v>
      </c>
      <c r="O25" s="36">
        <f t="shared" si="18"/>
        <v>1708.75</v>
      </c>
      <c r="P25" s="37">
        <f t="shared" si="18"/>
        <v>1708.75</v>
      </c>
    </row>
    <row r="26" spans="1:16" x14ac:dyDescent="0.25">
      <c r="B26" s="35" t="s">
        <v>32</v>
      </c>
      <c r="C26" s="55">
        <v>12919.970000000001</v>
      </c>
      <c r="D26" s="61">
        <f>SUM(E26:P26)</f>
        <v>12919.970000000003</v>
      </c>
      <c r="E26" s="36">
        <f>$C$26/12</f>
        <v>1076.6641666666667</v>
      </c>
      <c r="F26" s="36">
        <f t="shared" ref="F26:P26" si="19">$C$26/12</f>
        <v>1076.6641666666667</v>
      </c>
      <c r="G26" s="36">
        <f t="shared" si="19"/>
        <v>1076.6641666666667</v>
      </c>
      <c r="H26" s="36">
        <f t="shared" si="19"/>
        <v>1076.6641666666667</v>
      </c>
      <c r="I26" s="36">
        <f t="shared" si="19"/>
        <v>1076.6641666666667</v>
      </c>
      <c r="J26" s="36">
        <f t="shared" si="19"/>
        <v>1076.6641666666667</v>
      </c>
      <c r="K26" s="36">
        <f t="shared" si="19"/>
        <v>1076.6641666666667</v>
      </c>
      <c r="L26" s="36">
        <f t="shared" si="19"/>
        <v>1076.6641666666667</v>
      </c>
      <c r="M26" s="36">
        <f t="shared" si="19"/>
        <v>1076.6641666666667</v>
      </c>
      <c r="N26" s="36">
        <f t="shared" si="19"/>
        <v>1076.6641666666667</v>
      </c>
      <c r="O26" s="36">
        <f t="shared" si="19"/>
        <v>1076.6641666666667</v>
      </c>
      <c r="P26" s="37">
        <f t="shared" si="19"/>
        <v>1076.6641666666667</v>
      </c>
    </row>
    <row r="27" spans="1:16" x14ac:dyDescent="0.25">
      <c r="B27" s="84" t="s">
        <v>34</v>
      </c>
      <c r="C27" s="81">
        <f>RevenuesvsExpenses!E28</f>
        <v>1265779.1300000001</v>
      </c>
      <c r="D27" s="81">
        <f>SUM(E27:P27)</f>
        <v>4484875.4399999995</v>
      </c>
      <c r="E27" s="82">
        <f>E5+E6+E13+E34</f>
        <v>81219.270833333343</v>
      </c>
      <c r="F27" s="82">
        <f>F5+F6+F13+F34</f>
        <v>81219.270833333343</v>
      </c>
      <c r="G27" s="82">
        <f t="shared" ref="G27:P27" si="20">G5+G6+G13+G34</f>
        <v>331219.27083333331</v>
      </c>
      <c r="H27" s="82">
        <f t="shared" si="20"/>
        <v>171219.27083333331</v>
      </c>
      <c r="I27" s="82">
        <f t="shared" si="20"/>
        <v>77219.270833333343</v>
      </c>
      <c r="J27" s="82">
        <f t="shared" si="20"/>
        <v>76657.960833333316</v>
      </c>
      <c r="K27" s="82">
        <f t="shared" si="20"/>
        <v>613520.1875</v>
      </c>
      <c r="L27" s="82">
        <f t="shared" si="20"/>
        <v>610520.1875</v>
      </c>
      <c r="M27" s="82">
        <f t="shared" si="20"/>
        <v>610520.1875</v>
      </c>
      <c r="N27" s="82">
        <f t="shared" si="20"/>
        <v>610520.1875</v>
      </c>
      <c r="O27" s="82">
        <f t="shared" si="20"/>
        <v>610520.1875</v>
      </c>
      <c r="P27" s="82">
        <f t="shared" si="20"/>
        <v>610520.1875</v>
      </c>
    </row>
    <row r="28" spans="1:16" x14ac:dyDescent="0.25">
      <c r="B28" s="32"/>
      <c r="C28" s="52"/>
      <c r="D28" s="5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44"/>
    </row>
    <row r="29" spans="1:16" ht="15.75" thickBot="1" x14ac:dyDescent="0.3">
      <c r="B29" s="46" t="s">
        <v>84</v>
      </c>
      <c r="C29" s="57">
        <f>C18+C22+C27</f>
        <v>1643869</v>
      </c>
      <c r="D29" s="63">
        <f>D18+D22+D27</f>
        <v>4941031.8</v>
      </c>
      <c r="E29" s="47">
        <f t="shared" ref="E29:P29" si="21">E18+E22+E27</f>
        <v>107102.19166666668</v>
      </c>
      <c r="F29" s="47">
        <f t="shared" si="21"/>
        <v>107102.19166666668</v>
      </c>
      <c r="G29" s="47">
        <f t="shared" si="21"/>
        <v>357102.19166666665</v>
      </c>
      <c r="H29" s="47">
        <f t="shared" si="21"/>
        <v>197102.19166666665</v>
      </c>
      <c r="I29" s="47">
        <f t="shared" si="21"/>
        <v>103102.19166666668</v>
      </c>
      <c r="J29" s="47">
        <f t="shared" si="21"/>
        <v>218102.19166666665</v>
      </c>
      <c r="K29" s="47">
        <f t="shared" si="21"/>
        <v>641903.1083333334</v>
      </c>
      <c r="L29" s="47">
        <f t="shared" si="21"/>
        <v>641903.1083333334</v>
      </c>
      <c r="M29" s="47">
        <f t="shared" si="21"/>
        <v>641903.1083333334</v>
      </c>
      <c r="N29" s="47">
        <f t="shared" si="21"/>
        <v>641903.1083333334</v>
      </c>
      <c r="O29" s="47">
        <f t="shared" si="21"/>
        <v>641903.1083333334</v>
      </c>
      <c r="P29" s="48">
        <f t="shared" si="21"/>
        <v>641903.1083333334</v>
      </c>
    </row>
    <row r="31" spans="1:16" x14ac:dyDescent="0.25">
      <c r="B31" t="s">
        <v>115</v>
      </c>
      <c r="D31" s="2">
        <f>D15-D29</f>
        <v>0</v>
      </c>
      <c r="E31" s="2">
        <f t="shared" ref="E31:P31" si="22">E15-E29</f>
        <v>0</v>
      </c>
      <c r="F31" s="2">
        <f t="shared" si="22"/>
        <v>0</v>
      </c>
      <c r="G31" s="2">
        <f t="shared" si="22"/>
        <v>0</v>
      </c>
      <c r="H31" s="2">
        <f t="shared" si="22"/>
        <v>0</v>
      </c>
      <c r="I31" s="2">
        <f t="shared" si="22"/>
        <v>0</v>
      </c>
      <c r="J31" s="2">
        <f t="shared" si="22"/>
        <v>0</v>
      </c>
      <c r="K31" s="2">
        <f t="shared" si="22"/>
        <v>0</v>
      </c>
      <c r="L31" s="2">
        <f t="shared" si="22"/>
        <v>0</v>
      </c>
      <c r="M31" s="2">
        <f t="shared" si="22"/>
        <v>0</v>
      </c>
      <c r="N31" s="2">
        <f t="shared" si="22"/>
        <v>0</v>
      </c>
      <c r="O31" s="2">
        <f t="shared" si="22"/>
        <v>0</v>
      </c>
      <c r="P31" s="2">
        <f t="shared" si="22"/>
        <v>0</v>
      </c>
    </row>
    <row r="33" spans="2:16" x14ac:dyDescent="0.25">
      <c r="C33" s="2"/>
      <c r="D33" s="2"/>
    </row>
    <row r="34" spans="2:16" x14ac:dyDescent="0.25">
      <c r="B34" t="s">
        <v>116</v>
      </c>
      <c r="D34" s="2">
        <v>1553160.44</v>
      </c>
      <c r="E34" s="2">
        <v>20502.8125</v>
      </c>
      <c r="F34" s="2">
        <v>20502.8125</v>
      </c>
      <c r="G34" s="2">
        <v>20502.8125</v>
      </c>
      <c r="H34" s="2">
        <v>10502.812499999971</v>
      </c>
      <c r="I34" s="2">
        <v>10502.8125</v>
      </c>
      <c r="J34" s="2">
        <v>15941.502499999973</v>
      </c>
      <c r="K34" s="2">
        <v>18002.8125</v>
      </c>
      <c r="L34" s="2">
        <v>15002.8125</v>
      </c>
      <c r="M34" s="2">
        <v>15002.8125</v>
      </c>
      <c r="N34" s="2">
        <v>15002.8125</v>
      </c>
      <c r="O34" s="2">
        <v>15002.8125</v>
      </c>
      <c r="P34" s="2">
        <v>15002.8125</v>
      </c>
    </row>
  </sheetData>
  <mergeCells count="1">
    <mergeCell ref="E1:P1"/>
  </mergeCells>
  <pageMargins left="0.25" right="0.25" top="0.75" bottom="0.75" header="0.3" footer="0.3"/>
  <pageSetup paperSize="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150" zoomScaleNormal="150" zoomScalePageLayoutView="150" workbookViewId="0">
      <selection activeCell="B41" sqref="B41"/>
    </sheetView>
  </sheetViews>
  <sheetFormatPr baseColWidth="10" defaultColWidth="9.140625" defaultRowHeight="9" x14ac:dyDescent="0.15"/>
  <cols>
    <col min="1" max="1" width="15.140625" style="117" customWidth="1"/>
    <col min="2" max="2" width="9.85546875" style="87" customWidth="1"/>
    <col min="3" max="14" width="11.140625" style="87" customWidth="1"/>
    <col min="15" max="16384" width="9.140625" style="87"/>
  </cols>
  <sheetData>
    <row r="1" spans="1:14" ht="9.75" thickBot="1" x14ac:dyDescent="0.2">
      <c r="B1" s="130">
        <v>2019</v>
      </c>
    </row>
    <row r="2" spans="1:14" ht="9.75" thickBot="1" x14ac:dyDescent="0.2">
      <c r="B2" s="131"/>
      <c r="C2" s="88" t="s">
        <v>73</v>
      </c>
      <c r="D2" s="89" t="s">
        <v>74</v>
      </c>
      <c r="E2" s="89" t="s">
        <v>45</v>
      </c>
      <c r="F2" s="89" t="s">
        <v>46</v>
      </c>
      <c r="G2" s="89" t="s">
        <v>47</v>
      </c>
      <c r="H2" s="89" t="s">
        <v>48</v>
      </c>
      <c r="I2" s="89" t="s">
        <v>49</v>
      </c>
      <c r="J2" s="89" t="s">
        <v>50</v>
      </c>
      <c r="K2" s="89" t="s">
        <v>51</v>
      </c>
      <c r="L2" s="89" t="s">
        <v>52</v>
      </c>
      <c r="M2" s="89" t="s">
        <v>53</v>
      </c>
      <c r="N2" s="90" t="s">
        <v>54</v>
      </c>
    </row>
    <row r="3" spans="1:14" x14ac:dyDescent="0.15">
      <c r="A3" s="118" t="s">
        <v>8</v>
      </c>
      <c r="B3" s="91"/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x14ac:dyDescent="0.15">
      <c r="A4" s="119" t="s">
        <v>77</v>
      </c>
      <c r="B4" s="96">
        <f>SUM(B5:B7)</f>
        <v>2032683.9999999993</v>
      </c>
      <c r="C4" s="97">
        <f>SUM(C5:C7)</f>
        <v>174723.66666666666</v>
      </c>
      <c r="D4" s="98">
        <f t="shared" ref="D4:N4" si="0">SUM(D5:D7)</f>
        <v>174723.66666666666</v>
      </c>
      <c r="E4" s="98">
        <f t="shared" si="0"/>
        <v>174723.66666666666</v>
      </c>
      <c r="F4" s="98">
        <f t="shared" si="0"/>
        <v>174723.66666666666</v>
      </c>
      <c r="G4" s="98">
        <f t="shared" si="0"/>
        <v>174723.66666666666</v>
      </c>
      <c r="H4" s="98">
        <f t="shared" si="0"/>
        <v>158723.66666666663</v>
      </c>
      <c r="I4" s="98">
        <f t="shared" si="0"/>
        <v>158723.66666666663</v>
      </c>
      <c r="J4" s="98">
        <f t="shared" si="0"/>
        <v>158723.66666666663</v>
      </c>
      <c r="K4" s="98">
        <f t="shared" si="0"/>
        <v>174723.66666666666</v>
      </c>
      <c r="L4" s="98">
        <f t="shared" si="0"/>
        <v>174723.66666666666</v>
      </c>
      <c r="M4" s="98">
        <f t="shared" si="0"/>
        <v>174723.66666666666</v>
      </c>
      <c r="N4" s="99">
        <f t="shared" si="0"/>
        <v>158723.66666666663</v>
      </c>
    </row>
    <row r="5" spans="1:14" x14ac:dyDescent="0.15">
      <c r="A5" s="120" t="s">
        <v>22</v>
      </c>
      <c r="B5" s="96">
        <f>SUM(C5:N5)</f>
        <v>1437683.9999999993</v>
      </c>
      <c r="C5" s="97">
        <f>C38-C42</f>
        <v>125140.33333333331</v>
      </c>
      <c r="D5" s="98">
        <f t="shared" ref="D5:D10" si="1">C5</f>
        <v>125140.33333333331</v>
      </c>
      <c r="E5" s="98">
        <f t="shared" ref="E5:M5" si="2">D5</f>
        <v>125140.33333333331</v>
      </c>
      <c r="F5" s="98">
        <f t="shared" si="2"/>
        <v>125140.33333333331</v>
      </c>
      <c r="G5" s="98">
        <f t="shared" si="2"/>
        <v>125140.33333333331</v>
      </c>
      <c r="H5" s="98">
        <f>H38-H42</f>
        <v>109140.33333333331</v>
      </c>
      <c r="I5" s="98">
        <f t="shared" si="2"/>
        <v>109140.33333333331</v>
      </c>
      <c r="J5" s="98">
        <f t="shared" si="2"/>
        <v>109140.33333333331</v>
      </c>
      <c r="K5" s="98">
        <f>G5</f>
        <v>125140.33333333331</v>
      </c>
      <c r="L5" s="98">
        <f t="shared" si="2"/>
        <v>125140.33333333331</v>
      </c>
      <c r="M5" s="98">
        <f t="shared" si="2"/>
        <v>125140.33333333331</v>
      </c>
      <c r="N5" s="99">
        <f>N38-N42</f>
        <v>109140.33333333331</v>
      </c>
    </row>
    <row r="6" spans="1:14" x14ac:dyDescent="0.15">
      <c r="A6" s="120" t="s">
        <v>23</v>
      </c>
      <c r="B6" s="96">
        <v>100000</v>
      </c>
      <c r="C6" s="97">
        <f>B6/12</f>
        <v>8333.3333333333339</v>
      </c>
      <c r="D6" s="98">
        <f t="shared" si="1"/>
        <v>8333.3333333333339</v>
      </c>
      <c r="E6" s="98">
        <f t="shared" ref="E6:N7" si="3">D6</f>
        <v>8333.3333333333339</v>
      </c>
      <c r="F6" s="98">
        <f t="shared" si="3"/>
        <v>8333.3333333333339</v>
      </c>
      <c r="G6" s="98">
        <f t="shared" si="3"/>
        <v>8333.3333333333339</v>
      </c>
      <c r="H6" s="98">
        <f t="shared" si="3"/>
        <v>8333.3333333333339</v>
      </c>
      <c r="I6" s="98">
        <f t="shared" si="3"/>
        <v>8333.3333333333339</v>
      </c>
      <c r="J6" s="98">
        <f t="shared" si="3"/>
        <v>8333.3333333333339</v>
      </c>
      <c r="K6" s="98">
        <f t="shared" si="3"/>
        <v>8333.3333333333339</v>
      </c>
      <c r="L6" s="98">
        <f t="shared" si="3"/>
        <v>8333.3333333333339</v>
      </c>
      <c r="M6" s="98">
        <f t="shared" si="3"/>
        <v>8333.3333333333339</v>
      </c>
      <c r="N6" s="99">
        <f t="shared" si="3"/>
        <v>8333.3333333333339</v>
      </c>
    </row>
    <row r="7" spans="1:14" x14ac:dyDescent="0.15">
      <c r="A7" s="120" t="s">
        <v>78</v>
      </c>
      <c r="B7" s="96">
        <f>B23+B22+75000</f>
        <v>495000</v>
      </c>
      <c r="C7" s="97">
        <f>B7/12</f>
        <v>41250</v>
      </c>
      <c r="D7" s="98">
        <f t="shared" si="1"/>
        <v>41250</v>
      </c>
      <c r="E7" s="98">
        <f t="shared" si="3"/>
        <v>41250</v>
      </c>
      <c r="F7" s="98">
        <f t="shared" si="3"/>
        <v>41250</v>
      </c>
      <c r="G7" s="98">
        <f t="shared" si="3"/>
        <v>41250</v>
      </c>
      <c r="H7" s="98">
        <f t="shared" si="3"/>
        <v>41250</v>
      </c>
      <c r="I7" s="98">
        <f t="shared" si="3"/>
        <v>41250</v>
      </c>
      <c r="J7" s="98">
        <f t="shared" si="3"/>
        <v>41250</v>
      </c>
      <c r="K7" s="98">
        <f t="shared" si="3"/>
        <v>41250</v>
      </c>
      <c r="L7" s="98">
        <f t="shared" si="3"/>
        <v>41250</v>
      </c>
      <c r="M7" s="98">
        <f t="shared" si="3"/>
        <v>41250</v>
      </c>
      <c r="N7" s="98">
        <f t="shared" si="3"/>
        <v>41250</v>
      </c>
    </row>
    <row r="8" spans="1:14" ht="18" x14ac:dyDescent="0.15">
      <c r="A8" s="120" t="s">
        <v>85</v>
      </c>
      <c r="B8" s="96">
        <f>SUM(C8:N8)</f>
        <v>156000</v>
      </c>
      <c r="C8" s="97">
        <f>200*65</f>
        <v>13000</v>
      </c>
      <c r="D8" s="98">
        <f t="shared" si="1"/>
        <v>13000</v>
      </c>
      <c r="E8" s="98">
        <f t="shared" ref="E8:N8" si="4">D8</f>
        <v>13000</v>
      </c>
      <c r="F8" s="98">
        <f t="shared" si="4"/>
        <v>13000</v>
      </c>
      <c r="G8" s="98">
        <f t="shared" si="4"/>
        <v>13000</v>
      </c>
      <c r="H8" s="98">
        <f t="shared" si="4"/>
        <v>13000</v>
      </c>
      <c r="I8" s="98">
        <f t="shared" si="4"/>
        <v>13000</v>
      </c>
      <c r="J8" s="98">
        <f t="shared" si="4"/>
        <v>13000</v>
      </c>
      <c r="K8" s="98">
        <f t="shared" si="4"/>
        <v>13000</v>
      </c>
      <c r="L8" s="98">
        <f t="shared" si="4"/>
        <v>13000</v>
      </c>
      <c r="M8" s="98">
        <f t="shared" si="4"/>
        <v>13000</v>
      </c>
      <c r="N8" s="99">
        <f t="shared" si="4"/>
        <v>13000</v>
      </c>
    </row>
    <row r="9" spans="1:14" x14ac:dyDescent="0.15">
      <c r="A9" s="119" t="s">
        <v>86</v>
      </c>
      <c r="B9" s="96">
        <v>486000</v>
      </c>
      <c r="C9" s="97">
        <f>B9/12</f>
        <v>40500</v>
      </c>
      <c r="D9" s="98">
        <f t="shared" si="1"/>
        <v>40500</v>
      </c>
      <c r="E9" s="98">
        <f t="shared" ref="E9:N9" si="5">D9</f>
        <v>40500</v>
      </c>
      <c r="F9" s="98">
        <f t="shared" si="5"/>
        <v>40500</v>
      </c>
      <c r="G9" s="98">
        <f t="shared" si="5"/>
        <v>40500</v>
      </c>
      <c r="H9" s="98">
        <f t="shared" si="5"/>
        <v>40500</v>
      </c>
      <c r="I9" s="98">
        <f t="shared" si="5"/>
        <v>40500</v>
      </c>
      <c r="J9" s="98">
        <f t="shared" si="5"/>
        <v>40500</v>
      </c>
      <c r="K9" s="98">
        <f t="shared" si="5"/>
        <v>40500</v>
      </c>
      <c r="L9" s="98">
        <f t="shared" si="5"/>
        <v>40500</v>
      </c>
      <c r="M9" s="98">
        <f t="shared" si="5"/>
        <v>40500</v>
      </c>
      <c r="N9" s="99">
        <f t="shared" si="5"/>
        <v>40500</v>
      </c>
    </row>
    <row r="10" spans="1:14" x14ac:dyDescent="0.15">
      <c r="A10" s="119" t="s">
        <v>80</v>
      </c>
      <c r="B10" s="96">
        <v>750000</v>
      </c>
      <c r="C10" s="97">
        <f>B10/12</f>
        <v>62500</v>
      </c>
      <c r="D10" s="98">
        <f t="shared" si="1"/>
        <v>62500</v>
      </c>
      <c r="E10" s="98">
        <f t="shared" ref="E10:N10" si="6">D10</f>
        <v>62500</v>
      </c>
      <c r="F10" s="98">
        <f t="shared" si="6"/>
        <v>62500</v>
      </c>
      <c r="G10" s="98">
        <f t="shared" si="6"/>
        <v>62500</v>
      </c>
      <c r="H10" s="98">
        <f t="shared" si="6"/>
        <v>62500</v>
      </c>
      <c r="I10" s="98">
        <f t="shared" si="6"/>
        <v>62500</v>
      </c>
      <c r="J10" s="98">
        <f t="shared" si="6"/>
        <v>62500</v>
      </c>
      <c r="K10" s="98">
        <f t="shared" si="6"/>
        <v>62500</v>
      </c>
      <c r="L10" s="98">
        <f t="shared" si="6"/>
        <v>62500</v>
      </c>
      <c r="M10" s="98">
        <f t="shared" si="6"/>
        <v>62500</v>
      </c>
      <c r="N10" s="99">
        <f t="shared" si="6"/>
        <v>62500</v>
      </c>
    </row>
    <row r="11" spans="1:14" x14ac:dyDescent="0.15">
      <c r="A11" s="120" t="s">
        <v>32</v>
      </c>
      <c r="B11" s="96">
        <f>SUM(C11:N11)</f>
        <v>436899.99999999994</v>
      </c>
      <c r="C11" s="97">
        <f>SUM(C12:C14)</f>
        <v>36408.333333333336</v>
      </c>
      <c r="D11" s="98">
        <f t="shared" ref="D11:N11" si="7">SUM(D12:D14)</f>
        <v>36408.333333333336</v>
      </c>
      <c r="E11" s="98">
        <f t="shared" si="7"/>
        <v>36408.333333333336</v>
      </c>
      <c r="F11" s="98">
        <f t="shared" si="7"/>
        <v>36408.333333333336</v>
      </c>
      <c r="G11" s="98">
        <f t="shared" si="7"/>
        <v>36408.333333333336</v>
      </c>
      <c r="H11" s="98">
        <f t="shared" si="7"/>
        <v>36408.333333333336</v>
      </c>
      <c r="I11" s="98">
        <f t="shared" si="7"/>
        <v>36408.333333333336</v>
      </c>
      <c r="J11" s="98">
        <f t="shared" si="7"/>
        <v>36408.333333333336</v>
      </c>
      <c r="K11" s="98">
        <f t="shared" si="7"/>
        <v>36408.333333333336</v>
      </c>
      <c r="L11" s="98">
        <f t="shared" si="7"/>
        <v>36408.333333333336</v>
      </c>
      <c r="M11" s="98">
        <f t="shared" si="7"/>
        <v>36408.333333333336</v>
      </c>
      <c r="N11" s="99">
        <f t="shared" si="7"/>
        <v>36408.333333333336</v>
      </c>
    </row>
    <row r="12" spans="1:14" ht="18" x14ac:dyDescent="0.15">
      <c r="A12" s="120" t="s">
        <v>87</v>
      </c>
      <c r="B12" s="96">
        <v>15000</v>
      </c>
      <c r="C12" s="97">
        <f>B12/12</f>
        <v>1250</v>
      </c>
      <c r="D12" s="98">
        <f>C12</f>
        <v>1250</v>
      </c>
      <c r="E12" s="98">
        <f t="shared" ref="E12:N12" si="8">D12</f>
        <v>1250</v>
      </c>
      <c r="F12" s="98">
        <f t="shared" si="8"/>
        <v>1250</v>
      </c>
      <c r="G12" s="98">
        <f t="shared" si="8"/>
        <v>1250</v>
      </c>
      <c r="H12" s="98">
        <f t="shared" si="8"/>
        <v>1250</v>
      </c>
      <c r="I12" s="98">
        <f t="shared" si="8"/>
        <v>1250</v>
      </c>
      <c r="J12" s="98">
        <f t="shared" si="8"/>
        <v>1250</v>
      </c>
      <c r="K12" s="98">
        <f t="shared" si="8"/>
        <v>1250</v>
      </c>
      <c r="L12" s="98">
        <f t="shared" si="8"/>
        <v>1250</v>
      </c>
      <c r="M12" s="98">
        <f t="shared" si="8"/>
        <v>1250</v>
      </c>
      <c r="N12" s="99">
        <f t="shared" si="8"/>
        <v>1250</v>
      </c>
    </row>
    <row r="13" spans="1:14" x14ac:dyDescent="0.15">
      <c r="A13" s="120" t="s">
        <v>88</v>
      </c>
      <c r="B13" s="96">
        <f t="shared" ref="B13" si="9">SUM(C13:N13)</f>
        <v>318000</v>
      </c>
      <c r="C13" s="97">
        <f>1500+(100*250)</f>
        <v>26500</v>
      </c>
      <c r="D13" s="98">
        <f>C13</f>
        <v>26500</v>
      </c>
      <c r="E13" s="98">
        <f t="shared" ref="E13:N13" si="10">D13</f>
        <v>26500</v>
      </c>
      <c r="F13" s="98">
        <f t="shared" si="10"/>
        <v>26500</v>
      </c>
      <c r="G13" s="98">
        <f t="shared" si="10"/>
        <v>26500</v>
      </c>
      <c r="H13" s="98">
        <f t="shared" si="10"/>
        <v>26500</v>
      </c>
      <c r="I13" s="98">
        <f t="shared" si="10"/>
        <v>26500</v>
      </c>
      <c r="J13" s="98">
        <f t="shared" si="10"/>
        <v>26500</v>
      </c>
      <c r="K13" s="98">
        <f t="shared" si="10"/>
        <v>26500</v>
      </c>
      <c r="L13" s="98">
        <f t="shared" si="10"/>
        <v>26500</v>
      </c>
      <c r="M13" s="98">
        <f t="shared" si="10"/>
        <v>26500</v>
      </c>
      <c r="N13" s="99">
        <f t="shared" si="10"/>
        <v>26500</v>
      </c>
    </row>
    <row r="14" spans="1:14" x14ac:dyDescent="0.15">
      <c r="A14" s="120" t="s">
        <v>27</v>
      </c>
      <c r="B14" s="96">
        <v>103900</v>
      </c>
      <c r="C14" s="97">
        <f>B14/12</f>
        <v>8658.3333333333339</v>
      </c>
      <c r="D14" s="98">
        <f>C14</f>
        <v>8658.3333333333339</v>
      </c>
      <c r="E14" s="98">
        <f t="shared" ref="E14:N14" si="11">D14</f>
        <v>8658.3333333333339</v>
      </c>
      <c r="F14" s="98">
        <f t="shared" si="11"/>
        <v>8658.3333333333339</v>
      </c>
      <c r="G14" s="98">
        <f t="shared" si="11"/>
        <v>8658.3333333333339</v>
      </c>
      <c r="H14" s="98">
        <f t="shared" si="11"/>
        <v>8658.3333333333339</v>
      </c>
      <c r="I14" s="98">
        <f t="shared" si="11"/>
        <v>8658.3333333333339</v>
      </c>
      <c r="J14" s="98">
        <f t="shared" si="11"/>
        <v>8658.3333333333339</v>
      </c>
      <c r="K14" s="98">
        <f t="shared" si="11"/>
        <v>8658.3333333333339</v>
      </c>
      <c r="L14" s="98">
        <f t="shared" si="11"/>
        <v>8658.3333333333339</v>
      </c>
      <c r="M14" s="98">
        <f t="shared" si="11"/>
        <v>8658.3333333333339</v>
      </c>
      <c r="N14" s="99">
        <f t="shared" si="11"/>
        <v>8658.3333333333339</v>
      </c>
    </row>
    <row r="15" spans="1:14" x14ac:dyDescent="0.15">
      <c r="A15" s="120"/>
      <c r="B15" s="96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</row>
    <row r="16" spans="1:14" x14ac:dyDescent="0.15">
      <c r="A16" s="119"/>
      <c r="B16" s="100"/>
      <c r="C16" s="95"/>
      <c r="N16" s="101"/>
    </row>
    <row r="17" spans="1:14" x14ac:dyDescent="0.15">
      <c r="A17" s="121" t="s">
        <v>75</v>
      </c>
      <c r="B17" s="102">
        <f>B4+B9+B10+B11</f>
        <v>3705583.9999999991</v>
      </c>
      <c r="C17" s="103">
        <f>C4+C9+C10+C11</f>
        <v>314131.99999999994</v>
      </c>
      <c r="D17" s="104">
        <f t="shared" ref="D17:N17" si="12">D4+D9+D10+D11</f>
        <v>314131.99999999994</v>
      </c>
      <c r="E17" s="104">
        <f t="shared" si="12"/>
        <v>314131.99999999994</v>
      </c>
      <c r="F17" s="104">
        <f t="shared" si="12"/>
        <v>314131.99999999994</v>
      </c>
      <c r="G17" s="104">
        <f t="shared" si="12"/>
        <v>314131.99999999994</v>
      </c>
      <c r="H17" s="104">
        <f t="shared" si="12"/>
        <v>298131.99999999994</v>
      </c>
      <c r="I17" s="104">
        <f t="shared" si="12"/>
        <v>298131.99999999994</v>
      </c>
      <c r="J17" s="104">
        <f t="shared" si="12"/>
        <v>298131.99999999994</v>
      </c>
      <c r="K17" s="104">
        <f t="shared" si="12"/>
        <v>314131.99999999994</v>
      </c>
      <c r="L17" s="104">
        <f t="shared" si="12"/>
        <v>314131.99999999994</v>
      </c>
      <c r="M17" s="104">
        <f t="shared" si="12"/>
        <v>314131.99999999994</v>
      </c>
      <c r="N17" s="105">
        <f t="shared" si="12"/>
        <v>298131.99999999994</v>
      </c>
    </row>
    <row r="18" spans="1:14" x14ac:dyDescent="0.15">
      <c r="A18" s="119"/>
      <c r="B18" s="100"/>
      <c r="C18" s="95"/>
      <c r="N18" s="101"/>
    </row>
    <row r="19" spans="1:14" x14ac:dyDescent="0.15">
      <c r="A19" s="122" t="s">
        <v>9</v>
      </c>
      <c r="B19" s="106"/>
      <c r="C19" s="107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1:14" x14ac:dyDescent="0.15">
      <c r="A20" s="119" t="s">
        <v>81</v>
      </c>
      <c r="B20" s="96">
        <f t="shared" ref="B20:N20" si="13">SUM(B21:B27)</f>
        <v>1319400</v>
      </c>
      <c r="C20" s="97">
        <f t="shared" si="13"/>
        <v>109950</v>
      </c>
      <c r="D20" s="98">
        <f t="shared" si="13"/>
        <v>109950</v>
      </c>
      <c r="E20" s="98">
        <f t="shared" si="13"/>
        <v>109950</v>
      </c>
      <c r="F20" s="98">
        <f t="shared" si="13"/>
        <v>109950</v>
      </c>
      <c r="G20" s="98">
        <f t="shared" si="13"/>
        <v>109950</v>
      </c>
      <c r="H20" s="98">
        <f t="shared" si="13"/>
        <v>109950</v>
      </c>
      <c r="I20" s="98">
        <f t="shared" si="13"/>
        <v>109950</v>
      </c>
      <c r="J20" s="98">
        <f t="shared" si="13"/>
        <v>109950</v>
      </c>
      <c r="K20" s="98">
        <f t="shared" si="13"/>
        <v>109950</v>
      </c>
      <c r="L20" s="98">
        <f t="shared" si="13"/>
        <v>109950</v>
      </c>
      <c r="M20" s="98">
        <f t="shared" si="13"/>
        <v>109950</v>
      </c>
      <c r="N20" s="99">
        <f t="shared" si="13"/>
        <v>109950</v>
      </c>
    </row>
    <row r="21" spans="1:14" ht="18" x14ac:dyDescent="0.15">
      <c r="A21" s="120" t="s">
        <v>89</v>
      </c>
      <c r="B21" s="96">
        <f>SUM(C21:N21)</f>
        <v>120000</v>
      </c>
      <c r="C21" s="97">
        <v>10000</v>
      </c>
      <c r="D21" s="98">
        <v>10000</v>
      </c>
      <c r="E21" s="98">
        <v>10000</v>
      </c>
      <c r="F21" s="98">
        <v>10000</v>
      </c>
      <c r="G21" s="98">
        <v>10000</v>
      </c>
      <c r="H21" s="98">
        <v>10000</v>
      </c>
      <c r="I21" s="98">
        <v>10000</v>
      </c>
      <c r="J21" s="98">
        <v>10000</v>
      </c>
      <c r="K21" s="98">
        <v>10000</v>
      </c>
      <c r="L21" s="98">
        <v>10000</v>
      </c>
      <c r="M21" s="98">
        <v>10000</v>
      </c>
      <c r="N21" s="99">
        <v>10000</v>
      </c>
    </row>
    <row r="22" spans="1:14" ht="18" x14ac:dyDescent="0.15">
      <c r="A22" s="120" t="s">
        <v>90</v>
      </c>
      <c r="B22" s="96">
        <f>SUM(C22:N22)</f>
        <v>120000</v>
      </c>
      <c r="C22" s="97">
        <v>10000</v>
      </c>
      <c r="D22" s="98">
        <v>10000</v>
      </c>
      <c r="E22" s="98">
        <v>10000</v>
      </c>
      <c r="F22" s="98">
        <v>10000</v>
      </c>
      <c r="G22" s="98">
        <v>10000</v>
      </c>
      <c r="H22" s="98">
        <v>10000</v>
      </c>
      <c r="I22" s="98">
        <v>10000</v>
      </c>
      <c r="J22" s="98">
        <v>10000</v>
      </c>
      <c r="K22" s="98">
        <v>10000</v>
      </c>
      <c r="L22" s="98">
        <v>10000</v>
      </c>
      <c r="M22" s="98">
        <v>10000</v>
      </c>
      <c r="N22" s="99">
        <v>10000</v>
      </c>
    </row>
    <row r="23" spans="1:14" x14ac:dyDescent="0.15">
      <c r="A23" s="120" t="s">
        <v>91</v>
      </c>
      <c r="B23" s="96">
        <f>SUM(C23:N23)</f>
        <v>300000</v>
      </c>
      <c r="C23" s="97">
        <v>25000</v>
      </c>
      <c r="D23" s="98">
        <v>25000</v>
      </c>
      <c r="E23" s="98">
        <v>25000</v>
      </c>
      <c r="F23" s="98">
        <v>25000</v>
      </c>
      <c r="G23" s="98">
        <v>25000</v>
      </c>
      <c r="H23" s="98">
        <v>25000</v>
      </c>
      <c r="I23" s="98">
        <v>25000</v>
      </c>
      <c r="J23" s="98">
        <v>25000</v>
      </c>
      <c r="K23" s="98">
        <v>25000</v>
      </c>
      <c r="L23" s="98">
        <v>25000</v>
      </c>
      <c r="M23" s="98">
        <v>25000</v>
      </c>
      <c r="N23" s="99">
        <v>25000</v>
      </c>
    </row>
    <row r="24" spans="1:14" x14ac:dyDescent="0.15">
      <c r="A24" s="120" t="s">
        <v>33</v>
      </c>
      <c r="B24" s="96">
        <f>B10</f>
        <v>750000</v>
      </c>
      <c r="C24" s="97">
        <f>B24/12</f>
        <v>62500</v>
      </c>
      <c r="D24" s="98">
        <f>C24</f>
        <v>62500</v>
      </c>
      <c r="E24" s="98">
        <f t="shared" ref="E24:N24" si="14">D24</f>
        <v>62500</v>
      </c>
      <c r="F24" s="98">
        <f t="shared" si="14"/>
        <v>62500</v>
      </c>
      <c r="G24" s="98">
        <f t="shared" si="14"/>
        <v>62500</v>
      </c>
      <c r="H24" s="98">
        <f t="shared" si="14"/>
        <v>62500</v>
      </c>
      <c r="I24" s="98">
        <f t="shared" si="14"/>
        <v>62500</v>
      </c>
      <c r="J24" s="98">
        <f t="shared" si="14"/>
        <v>62500</v>
      </c>
      <c r="K24" s="98">
        <f t="shared" si="14"/>
        <v>62500</v>
      </c>
      <c r="L24" s="98">
        <f t="shared" si="14"/>
        <v>62500</v>
      </c>
      <c r="M24" s="98">
        <f t="shared" si="14"/>
        <v>62500</v>
      </c>
      <c r="N24" s="99">
        <f t="shared" si="14"/>
        <v>62500</v>
      </c>
    </row>
    <row r="25" spans="1:14" x14ac:dyDescent="0.15">
      <c r="A25" s="120" t="s">
        <v>92</v>
      </c>
      <c r="B25" s="96">
        <f>SUM(C25:N25)</f>
        <v>14400</v>
      </c>
      <c r="C25" s="97">
        <v>1200</v>
      </c>
      <c r="D25" s="98">
        <v>1200</v>
      </c>
      <c r="E25" s="98">
        <v>1200</v>
      </c>
      <c r="F25" s="98">
        <v>1200</v>
      </c>
      <c r="G25" s="98">
        <v>1200</v>
      </c>
      <c r="H25" s="98">
        <v>1200</v>
      </c>
      <c r="I25" s="98">
        <v>1200</v>
      </c>
      <c r="J25" s="98">
        <v>1200</v>
      </c>
      <c r="K25" s="98">
        <v>1200</v>
      </c>
      <c r="L25" s="98">
        <v>1200</v>
      </c>
      <c r="M25" s="98">
        <v>1200</v>
      </c>
      <c r="N25" s="99">
        <v>1200</v>
      </c>
    </row>
    <row r="26" spans="1:14" x14ac:dyDescent="0.15">
      <c r="A26" s="120" t="s">
        <v>93</v>
      </c>
      <c r="B26" s="96">
        <f t="shared" ref="B26:B27" si="15">SUM(C26:N26)</f>
        <v>7200</v>
      </c>
      <c r="C26" s="97">
        <v>600</v>
      </c>
      <c r="D26" s="98">
        <v>600</v>
      </c>
      <c r="E26" s="98">
        <v>600</v>
      </c>
      <c r="F26" s="98">
        <v>600</v>
      </c>
      <c r="G26" s="98">
        <v>600</v>
      </c>
      <c r="H26" s="98">
        <v>600</v>
      </c>
      <c r="I26" s="98">
        <v>600</v>
      </c>
      <c r="J26" s="98">
        <v>600</v>
      </c>
      <c r="K26" s="98">
        <v>600</v>
      </c>
      <c r="L26" s="98">
        <v>600</v>
      </c>
      <c r="M26" s="98">
        <v>600</v>
      </c>
      <c r="N26" s="99">
        <v>600</v>
      </c>
    </row>
    <row r="27" spans="1:14" s="110" customFormat="1" ht="13.5" customHeight="1" x14ac:dyDescent="0.15">
      <c r="A27" s="120" t="s">
        <v>6</v>
      </c>
      <c r="B27" s="96">
        <f t="shared" si="15"/>
        <v>7800</v>
      </c>
      <c r="C27" s="97">
        <v>650</v>
      </c>
      <c r="D27" s="98">
        <v>650</v>
      </c>
      <c r="E27" s="98">
        <v>650</v>
      </c>
      <c r="F27" s="98">
        <v>650</v>
      </c>
      <c r="G27" s="98">
        <v>650</v>
      </c>
      <c r="H27" s="98">
        <v>650</v>
      </c>
      <c r="I27" s="98">
        <v>650</v>
      </c>
      <c r="J27" s="98">
        <v>650</v>
      </c>
      <c r="K27" s="98">
        <v>650</v>
      </c>
      <c r="L27" s="98">
        <v>650</v>
      </c>
      <c r="M27" s="98">
        <v>650</v>
      </c>
      <c r="N27" s="99">
        <v>650</v>
      </c>
    </row>
    <row r="28" spans="1:14" ht="18" x14ac:dyDescent="0.15">
      <c r="A28" s="119" t="s">
        <v>29</v>
      </c>
      <c r="B28" s="96">
        <f>SUM(B29:B35)</f>
        <v>343184</v>
      </c>
      <c r="C28" s="97">
        <f t="shared" ref="C28:N28" si="16">SUM(C29:C35)</f>
        <v>33932</v>
      </c>
      <c r="D28" s="98">
        <f t="shared" si="16"/>
        <v>33932</v>
      </c>
      <c r="E28" s="98">
        <f t="shared" si="16"/>
        <v>33932</v>
      </c>
      <c r="F28" s="98">
        <f t="shared" si="16"/>
        <v>33932</v>
      </c>
      <c r="G28" s="98">
        <f t="shared" si="16"/>
        <v>33932</v>
      </c>
      <c r="H28" s="98">
        <f t="shared" si="16"/>
        <v>17932</v>
      </c>
      <c r="I28" s="98">
        <f t="shared" si="16"/>
        <v>17932</v>
      </c>
      <c r="J28" s="98">
        <f t="shared" si="16"/>
        <v>17932</v>
      </c>
      <c r="K28" s="98">
        <f t="shared" si="16"/>
        <v>33932</v>
      </c>
      <c r="L28" s="98">
        <f t="shared" si="16"/>
        <v>33932</v>
      </c>
      <c r="M28" s="98">
        <f t="shared" si="16"/>
        <v>33932</v>
      </c>
      <c r="N28" s="99">
        <f t="shared" si="16"/>
        <v>17932</v>
      </c>
    </row>
    <row r="29" spans="1:14" x14ac:dyDescent="0.15">
      <c r="A29" s="120" t="s">
        <v>94</v>
      </c>
      <c r="B29" s="96">
        <f t="shared" ref="B29:B35" si="17">SUM(C29:N29)</f>
        <v>48000</v>
      </c>
      <c r="C29" s="97">
        <v>4000</v>
      </c>
      <c r="D29" s="98">
        <v>4000</v>
      </c>
      <c r="E29" s="98">
        <v>4000</v>
      </c>
      <c r="F29" s="98">
        <v>4000</v>
      </c>
      <c r="G29" s="98">
        <v>4000</v>
      </c>
      <c r="H29" s="98">
        <v>4000</v>
      </c>
      <c r="I29" s="98">
        <v>4000</v>
      </c>
      <c r="J29" s="98">
        <v>4000</v>
      </c>
      <c r="K29" s="98">
        <v>4000</v>
      </c>
      <c r="L29" s="98">
        <v>4000</v>
      </c>
      <c r="M29" s="98">
        <v>4000</v>
      </c>
      <c r="N29" s="99">
        <v>4000</v>
      </c>
    </row>
    <row r="30" spans="1:14" x14ac:dyDescent="0.15">
      <c r="A30" s="120" t="s">
        <v>95</v>
      </c>
      <c r="B30" s="96">
        <f t="shared" si="17"/>
        <v>30960</v>
      </c>
      <c r="C30" s="97">
        <v>2580</v>
      </c>
      <c r="D30" s="98">
        <v>2580</v>
      </c>
      <c r="E30" s="98">
        <v>2580</v>
      </c>
      <c r="F30" s="98">
        <v>2580</v>
      </c>
      <c r="G30" s="98">
        <v>2580</v>
      </c>
      <c r="H30" s="98">
        <v>2580</v>
      </c>
      <c r="I30" s="98">
        <v>2580</v>
      </c>
      <c r="J30" s="98">
        <v>2580</v>
      </c>
      <c r="K30" s="98">
        <v>2580</v>
      </c>
      <c r="L30" s="98">
        <v>2580</v>
      </c>
      <c r="M30" s="98">
        <v>2580</v>
      </c>
      <c r="N30" s="99">
        <v>2580</v>
      </c>
    </row>
    <row r="31" spans="1:14" x14ac:dyDescent="0.15">
      <c r="A31" s="120" t="s">
        <v>96</v>
      </c>
      <c r="B31" s="96">
        <f t="shared" si="17"/>
        <v>30000</v>
      </c>
      <c r="C31" s="97">
        <v>2500</v>
      </c>
      <c r="D31" s="98">
        <v>2500</v>
      </c>
      <c r="E31" s="98">
        <v>2500</v>
      </c>
      <c r="F31" s="98">
        <v>2500</v>
      </c>
      <c r="G31" s="98">
        <v>2500</v>
      </c>
      <c r="H31" s="98">
        <v>2500</v>
      </c>
      <c r="I31" s="98">
        <v>2500</v>
      </c>
      <c r="J31" s="98">
        <v>2500</v>
      </c>
      <c r="K31" s="98">
        <v>2500</v>
      </c>
      <c r="L31" s="98">
        <v>2500</v>
      </c>
      <c r="M31" s="98">
        <v>2500</v>
      </c>
      <c r="N31" s="99">
        <v>2500</v>
      </c>
    </row>
    <row r="32" spans="1:14" x14ac:dyDescent="0.15">
      <c r="A32" s="120" t="s">
        <v>97</v>
      </c>
      <c r="B32" s="96">
        <f t="shared" si="17"/>
        <v>48000</v>
      </c>
      <c r="C32" s="97">
        <v>4000</v>
      </c>
      <c r="D32" s="98">
        <v>4000</v>
      </c>
      <c r="E32" s="98">
        <v>4000</v>
      </c>
      <c r="F32" s="98">
        <v>4000</v>
      </c>
      <c r="G32" s="98">
        <v>4000</v>
      </c>
      <c r="H32" s="98">
        <v>4000</v>
      </c>
      <c r="I32" s="98">
        <v>4000</v>
      </c>
      <c r="J32" s="98">
        <v>4000</v>
      </c>
      <c r="K32" s="98">
        <v>4000</v>
      </c>
      <c r="L32" s="98">
        <v>4000</v>
      </c>
      <c r="M32" s="98">
        <v>4000</v>
      </c>
      <c r="N32" s="99">
        <v>4000</v>
      </c>
    </row>
    <row r="33" spans="1:14" x14ac:dyDescent="0.15">
      <c r="A33" s="120" t="s">
        <v>31</v>
      </c>
      <c r="B33" s="96">
        <f t="shared" si="17"/>
        <v>12000</v>
      </c>
      <c r="C33" s="97">
        <v>1000</v>
      </c>
      <c r="D33" s="98">
        <v>1000</v>
      </c>
      <c r="E33" s="98">
        <v>1000</v>
      </c>
      <c r="F33" s="98">
        <v>1000</v>
      </c>
      <c r="G33" s="98">
        <v>1000</v>
      </c>
      <c r="H33" s="98">
        <v>1000</v>
      </c>
      <c r="I33" s="98">
        <v>1000</v>
      </c>
      <c r="J33" s="98">
        <v>1000</v>
      </c>
      <c r="K33" s="98">
        <v>1000</v>
      </c>
      <c r="L33" s="98">
        <v>1000</v>
      </c>
      <c r="M33" s="98">
        <v>1000</v>
      </c>
      <c r="N33" s="99">
        <v>1000</v>
      </c>
    </row>
    <row r="34" spans="1:14" x14ac:dyDescent="0.15">
      <c r="A34" s="120" t="s">
        <v>0</v>
      </c>
      <c r="B34" s="96">
        <f t="shared" si="17"/>
        <v>46224</v>
      </c>
      <c r="C34" s="97">
        <v>3852</v>
      </c>
      <c r="D34" s="98">
        <f>C34</f>
        <v>3852</v>
      </c>
      <c r="E34" s="98">
        <f t="shared" ref="E34:N36" si="18">D34</f>
        <v>3852</v>
      </c>
      <c r="F34" s="98">
        <f t="shared" si="18"/>
        <v>3852</v>
      </c>
      <c r="G34" s="98">
        <f t="shared" si="18"/>
        <v>3852</v>
      </c>
      <c r="H34" s="98">
        <f t="shared" si="18"/>
        <v>3852</v>
      </c>
      <c r="I34" s="98">
        <f t="shared" si="18"/>
        <v>3852</v>
      </c>
      <c r="J34" s="98">
        <f t="shared" si="18"/>
        <v>3852</v>
      </c>
      <c r="K34" s="98">
        <f t="shared" si="18"/>
        <v>3852</v>
      </c>
      <c r="L34" s="98">
        <f t="shared" si="18"/>
        <v>3852</v>
      </c>
      <c r="M34" s="98">
        <f t="shared" si="18"/>
        <v>3852</v>
      </c>
      <c r="N34" s="99">
        <f t="shared" si="18"/>
        <v>3852</v>
      </c>
    </row>
    <row r="35" spans="1:14" x14ac:dyDescent="0.15">
      <c r="A35" s="120" t="s">
        <v>32</v>
      </c>
      <c r="B35" s="96">
        <f t="shared" si="17"/>
        <v>128000</v>
      </c>
      <c r="C35" s="97">
        <v>16000</v>
      </c>
      <c r="D35" s="98">
        <f>C35</f>
        <v>16000</v>
      </c>
      <c r="E35" s="98">
        <f>D35</f>
        <v>16000</v>
      </c>
      <c r="F35" s="98">
        <f>E35</f>
        <v>16000</v>
      </c>
      <c r="G35" s="98">
        <f>F35</f>
        <v>16000</v>
      </c>
      <c r="H35" s="98"/>
      <c r="I35" s="98"/>
      <c r="J35" s="98"/>
      <c r="K35" s="98">
        <f>G35</f>
        <v>16000</v>
      </c>
      <c r="L35" s="98">
        <f t="shared" si="18"/>
        <v>16000</v>
      </c>
      <c r="M35" s="98">
        <f t="shared" si="18"/>
        <v>16000</v>
      </c>
      <c r="N35" s="99"/>
    </row>
    <row r="36" spans="1:14" x14ac:dyDescent="0.15">
      <c r="A36" s="119" t="s">
        <v>28</v>
      </c>
      <c r="B36" s="96">
        <v>2043000</v>
      </c>
      <c r="C36" s="97">
        <f>B36/12</f>
        <v>170250</v>
      </c>
      <c r="D36" s="98">
        <f>C36</f>
        <v>170250</v>
      </c>
      <c r="E36" s="98">
        <f t="shared" ref="E36:K36" si="19">D36</f>
        <v>170250</v>
      </c>
      <c r="F36" s="98">
        <f t="shared" si="19"/>
        <v>170250</v>
      </c>
      <c r="G36" s="98">
        <f t="shared" si="19"/>
        <v>170250</v>
      </c>
      <c r="H36" s="98">
        <f t="shared" si="19"/>
        <v>170250</v>
      </c>
      <c r="I36" s="98">
        <f t="shared" si="19"/>
        <v>170250</v>
      </c>
      <c r="J36" s="98">
        <f t="shared" si="19"/>
        <v>170250</v>
      </c>
      <c r="K36" s="98">
        <f t="shared" si="19"/>
        <v>170250</v>
      </c>
      <c r="L36" s="98">
        <f t="shared" si="18"/>
        <v>170250</v>
      </c>
      <c r="M36" s="98">
        <f t="shared" si="18"/>
        <v>170250</v>
      </c>
      <c r="N36" s="99">
        <f t="shared" ref="N36" si="20">M36</f>
        <v>170250</v>
      </c>
    </row>
    <row r="37" spans="1:14" x14ac:dyDescent="0.15">
      <c r="A37" s="119"/>
      <c r="B37" s="100"/>
      <c r="C37" s="95"/>
      <c r="N37" s="101"/>
    </row>
    <row r="38" spans="1:14" ht="9.75" thickBot="1" x14ac:dyDescent="0.2">
      <c r="A38" s="123" t="s">
        <v>84</v>
      </c>
      <c r="B38" s="111">
        <f t="shared" ref="B38:N38" si="21">B20+B28+B36</f>
        <v>3705584</v>
      </c>
      <c r="C38" s="112">
        <f t="shared" si="21"/>
        <v>314132</v>
      </c>
      <c r="D38" s="113">
        <f t="shared" si="21"/>
        <v>314132</v>
      </c>
      <c r="E38" s="113">
        <f t="shared" si="21"/>
        <v>314132</v>
      </c>
      <c r="F38" s="113">
        <f t="shared" si="21"/>
        <v>314132</v>
      </c>
      <c r="G38" s="113">
        <f t="shared" si="21"/>
        <v>314132</v>
      </c>
      <c r="H38" s="113">
        <f t="shared" si="21"/>
        <v>298132</v>
      </c>
      <c r="I38" s="113">
        <f t="shared" si="21"/>
        <v>298132</v>
      </c>
      <c r="J38" s="113">
        <f t="shared" si="21"/>
        <v>298132</v>
      </c>
      <c r="K38" s="113">
        <f t="shared" si="21"/>
        <v>314132</v>
      </c>
      <c r="L38" s="113">
        <f t="shared" si="21"/>
        <v>314132</v>
      </c>
      <c r="M38" s="113">
        <f t="shared" si="21"/>
        <v>314132</v>
      </c>
      <c r="N38" s="114">
        <f t="shared" si="21"/>
        <v>298132</v>
      </c>
    </row>
    <row r="40" spans="1:14" x14ac:dyDescent="0.15">
      <c r="A40" s="117" t="s">
        <v>117</v>
      </c>
      <c r="B40" s="115">
        <f>B17-B38</f>
        <v>0</v>
      </c>
      <c r="C40" s="115" t="s">
        <v>7</v>
      </c>
      <c r="D40" s="115">
        <f t="shared" ref="D40:N40" si="22">D17-D38</f>
        <v>0</v>
      </c>
      <c r="E40" s="115">
        <f t="shared" si="22"/>
        <v>0</v>
      </c>
      <c r="F40" s="115">
        <f t="shared" si="22"/>
        <v>0</v>
      </c>
      <c r="G40" s="115">
        <f t="shared" si="22"/>
        <v>0</v>
      </c>
      <c r="H40" s="115">
        <f t="shared" si="22"/>
        <v>0</v>
      </c>
      <c r="I40" s="115">
        <f t="shared" si="22"/>
        <v>0</v>
      </c>
      <c r="J40" s="115">
        <f t="shared" si="22"/>
        <v>0</v>
      </c>
      <c r="K40" s="115">
        <f t="shared" si="22"/>
        <v>0</v>
      </c>
      <c r="L40" s="115">
        <f t="shared" si="22"/>
        <v>0</v>
      </c>
      <c r="M40" s="115">
        <f t="shared" si="22"/>
        <v>0</v>
      </c>
      <c r="N40" s="115">
        <f t="shared" si="22"/>
        <v>0</v>
      </c>
    </row>
    <row r="41" spans="1:14" x14ac:dyDescent="0.15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2" spans="1:14" hidden="1" x14ac:dyDescent="0.15">
      <c r="A42" s="117" t="s">
        <v>5</v>
      </c>
      <c r="B42" s="116">
        <v>2267900</v>
      </c>
      <c r="C42" s="116">
        <v>188991.66666666669</v>
      </c>
      <c r="D42" s="116">
        <v>188991.66666666669</v>
      </c>
      <c r="E42" s="116">
        <v>188991.66666666669</v>
      </c>
      <c r="F42" s="116">
        <v>188991.66666666669</v>
      </c>
      <c r="G42" s="116">
        <v>188991.66666666669</v>
      </c>
      <c r="H42" s="116">
        <v>188991.66666666669</v>
      </c>
      <c r="I42" s="116">
        <v>188991.66666666669</v>
      </c>
      <c r="J42" s="116">
        <v>188991.66666666669</v>
      </c>
      <c r="K42" s="116">
        <v>188991.66666666669</v>
      </c>
      <c r="L42" s="116">
        <v>188991.66666666669</v>
      </c>
      <c r="M42" s="116">
        <v>188991.66666666669</v>
      </c>
      <c r="N42" s="116">
        <v>188991.66666666669</v>
      </c>
    </row>
  </sheetData>
  <mergeCells count="1">
    <mergeCell ref="B1:B2"/>
  </mergeCells>
  <pageMargins left="0.25" right="0.25" top="0.75" bottom="0.75" header="0.3" footer="0.3"/>
  <pageSetup paperSize="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C14" sqref="C14"/>
    </sheetView>
  </sheetViews>
  <sheetFormatPr baseColWidth="10" defaultRowHeight="15" x14ac:dyDescent="0.25"/>
  <cols>
    <col min="3" max="3" width="32.42578125" customWidth="1"/>
  </cols>
  <sheetData>
    <row r="2" spans="2:4" x14ac:dyDescent="0.25">
      <c r="B2" t="s">
        <v>98</v>
      </c>
      <c r="C2" t="s">
        <v>99</v>
      </c>
    </row>
    <row r="4" spans="2:4" x14ac:dyDescent="0.25">
      <c r="B4" s="85">
        <v>10000</v>
      </c>
      <c r="C4" s="85">
        <v>1200</v>
      </c>
      <c r="D4" s="85">
        <v>4000</v>
      </c>
    </row>
    <row r="5" spans="2:4" x14ac:dyDescent="0.25">
      <c r="B5" s="85">
        <v>15000</v>
      </c>
      <c r="C5" s="85">
        <v>600</v>
      </c>
      <c r="D5" s="85">
        <v>2580</v>
      </c>
    </row>
    <row r="6" spans="2:4" x14ac:dyDescent="0.25">
      <c r="B6" s="85">
        <v>25000</v>
      </c>
      <c r="C6" s="85">
        <v>650</v>
      </c>
      <c r="D6" s="85">
        <v>2500</v>
      </c>
    </row>
    <row r="7" spans="2:4" x14ac:dyDescent="0.25">
      <c r="D7" s="85">
        <v>4000</v>
      </c>
    </row>
    <row r="8" spans="2:4" x14ac:dyDescent="0.25">
      <c r="B8" s="2">
        <f>B6+B5+B4</f>
        <v>50000</v>
      </c>
      <c r="C8" t="s">
        <v>100</v>
      </c>
    </row>
    <row r="9" spans="2:4" x14ac:dyDescent="0.25">
      <c r="B9" s="86">
        <v>65000</v>
      </c>
      <c r="C9" t="s">
        <v>101</v>
      </c>
    </row>
    <row r="10" spans="2:4" x14ac:dyDescent="0.25">
      <c r="B10" s="2">
        <f>C4+C5+C6</f>
        <v>2450</v>
      </c>
      <c r="C10" t="s">
        <v>102</v>
      </c>
    </row>
    <row r="11" spans="2:4" x14ac:dyDescent="0.25">
      <c r="B11" s="2">
        <f>D4+D5+D6+D7</f>
        <v>13080</v>
      </c>
      <c r="C11" t="s">
        <v>103</v>
      </c>
    </row>
    <row r="12" spans="2:4" x14ac:dyDescent="0.25">
      <c r="B12">
        <v>15000</v>
      </c>
      <c r="C12" t="s">
        <v>104</v>
      </c>
    </row>
    <row r="13" spans="2:4" x14ac:dyDescent="0.25">
      <c r="B13">
        <v>16000</v>
      </c>
      <c r="C13" t="s">
        <v>105</v>
      </c>
    </row>
    <row r="14" spans="2:4" x14ac:dyDescent="0.25">
      <c r="B14">
        <v>100000</v>
      </c>
      <c r="C14" t="s">
        <v>106</v>
      </c>
    </row>
    <row r="15" spans="2:4" x14ac:dyDescent="0.25">
      <c r="B15" s="2">
        <f>SUM(B8:B14)</f>
        <v>261530</v>
      </c>
    </row>
    <row r="18" spans="2:2" x14ac:dyDescent="0.25">
      <c r="B18" s="2">
        <f>B10+B11+B12+B13</f>
        <v>46530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23.42578125" bestFit="1" customWidth="1"/>
    <col min="3" max="3" width="12.42578125" bestFit="1" customWidth="1"/>
  </cols>
  <sheetData>
    <row r="2" spans="2:27" x14ac:dyDescent="0.25">
      <c r="C2" s="83">
        <v>2019</v>
      </c>
      <c r="D2" s="124">
        <v>2019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>
        <v>2020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3" spans="2:27" x14ac:dyDescent="0.25">
      <c r="D3" t="s">
        <v>73</v>
      </c>
      <c r="E3" t="s">
        <v>74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  <c r="L3" t="s">
        <v>51</v>
      </c>
      <c r="M3" t="s">
        <v>52</v>
      </c>
      <c r="N3" t="s">
        <v>53</v>
      </c>
      <c r="O3" t="s">
        <v>54</v>
      </c>
      <c r="P3" t="s">
        <v>73</v>
      </c>
      <c r="Q3" t="s">
        <v>74</v>
      </c>
      <c r="R3" t="s">
        <v>45</v>
      </c>
      <c r="S3" t="s">
        <v>46</v>
      </c>
      <c r="T3" t="s">
        <v>47</v>
      </c>
      <c r="U3" t="s">
        <v>48</v>
      </c>
      <c r="V3" t="s">
        <v>49</v>
      </c>
      <c r="W3" t="s">
        <v>50</v>
      </c>
      <c r="X3" t="s">
        <v>51</v>
      </c>
      <c r="Y3" t="s">
        <v>52</v>
      </c>
      <c r="Z3" t="s">
        <v>53</v>
      </c>
      <c r="AA3" t="s">
        <v>54</v>
      </c>
    </row>
    <row r="4" spans="2:27" x14ac:dyDescent="0.25">
      <c r="B4" t="s">
        <v>8</v>
      </c>
    </row>
    <row r="5" spans="2:27" x14ac:dyDescent="0.25">
      <c r="B5" t="s">
        <v>107</v>
      </c>
      <c r="C5" s="7">
        <f>SUM(D5:O5)</f>
        <v>386171.61897219904</v>
      </c>
      <c r="D5" s="7">
        <v>25200</v>
      </c>
      <c r="E5" s="7">
        <v>26286</v>
      </c>
      <c r="F5" s="7">
        <v>27421.260000000002</v>
      </c>
      <c r="G5" s="7">
        <v>28608.124200000002</v>
      </c>
      <c r="H5" s="7">
        <v>29849.053254000006</v>
      </c>
      <c r="I5" s="7">
        <v>31146.630273060007</v>
      </c>
      <c r="J5" s="7">
        <v>32503.567147488608</v>
      </c>
      <c r="K5" s="7">
        <v>33922.711205555097</v>
      </c>
      <c r="L5" s="7">
        <v>35407.05222708713</v>
      </c>
      <c r="M5" s="7">
        <v>36959.729831338147</v>
      </c>
      <c r="N5" s="7">
        <v>38584.041259588092</v>
      </c>
      <c r="O5" s="7">
        <v>40283.449574081955</v>
      </c>
      <c r="P5" s="7">
        <v>42061.592296115872</v>
      </c>
      <c r="Q5" s="7">
        <v>43922.290507354061</v>
      </c>
      <c r="R5" s="7">
        <v>45869.558439805594</v>
      </c>
      <c r="S5" s="7">
        <v>47907.613581312107</v>
      </c>
      <c r="T5" s="7">
        <v>50040.887324900265</v>
      </c>
      <c r="U5" s="7">
        <v>52274.036191940875</v>
      </c>
      <c r="V5" s="7">
        <v>54611.953660734711</v>
      </c>
      <c r="W5" s="7">
        <v>57059.782633918985</v>
      </c>
      <c r="X5" s="7">
        <v>59622.928579962972</v>
      </c>
      <c r="Y5" s="7">
        <v>62307.073386002165</v>
      </c>
      <c r="Z5" s="7">
        <v>65118.189961355049</v>
      </c>
      <c r="AA5" s="7">
        <v>68062.557633279604</v>
      </c>
    </row>
    <row r="6" spans="2:27" x14ac:dyDescent="0.2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27" x14ac:dyDescent="0.25">
      <c r="B7" t="s">
        <v>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27" x14ac:dyDescent="0.25">
      <c r="B8" t="s">
        <v>81</v>
      </c>
      <c r="C8" s="7">
        <f t="shared" ref="C8:C10" si="0">SUM(D8:O8)</f>
        <v>27600</v>
      </c>
      <c r="D8" s="1">
        <v>2300</v>
      </c>
      <c r="E8" s="1">
        <v>2300</v>
      </c>
      <c r="F8" s="1">
        <v>2300</v>
      </c>
      <c r="G8" s="1">
        <v>2300</v>
      </c>
      <c r="H8" s="1">
        <v>2300</v>
      </c>
      <c r="I8" s="1">
        <v>2300</v>
      </c>
      <c r="J8" s="1">
        <v>2300</v>
      </c>
      <c r="K8" s="1">
        <v>2300</v>
      </c>
      <c r="L8" s="1">
        <v>2300</v>
      </c>
      <c r="M8" s="1">
        <v>2300</v>
      </c>
      <c r="N8" s="1">
        <v>2300</v>
      </c>
      <c r="O8" s="1">
        <v>2300</v>
      </c>
      <c r="P8" s="1">
        <v>2300</v>
      </c>
      <c r="Q8" s="1">
        <v>2300</v>
      </c>
      <c r="R8" s="1">
        <v>2300</v>
      </c>
      <c r="S8" s="1">
        <v>2300</v>
      </c>
      <c r="T8" s="1">
        <v>2300</v>
      </c>
      <c r="U8" s="1">
        <v>2300</v>
      </c>
      <c r="V8" s="1">
        <v>2300</v>
      </c>
      <c r="W8" s="1">
        <v>2300</v>
      </c>
      <c r="X8" s="1">
        <v>2300</v>
      </c>
      <c r="Y8" s="1">
        <v>2300</v>
      </c>
      <c r="Z8" s="1">
        <v>2300</v>
      </c>
      <c r="AA8" s="1">
        <v>2300</v>
      </c>
    </row>
    <row r="9" spans="2:27" x14ac:dyDescent="0.25">
      <c r="B9" t="s">
        <v>29</v>
      </c>
      <c r="C9" s="7">
        <f t="shared" si="0"/>
        <v>214800</v>
      </c>
      <c r="D9" s="1">
        <v>17900</v>
      </c>
      <c r="E9" s="1">
        <v>17900</v>
      </c>
      <c r="F9" s="1">
        <v>17900</v>
      </c>
      <c r="G9" s="1">
        <v>17900</v>
      </c>
      <c r="H9" s="1">
        <v>17900</v>
      </c>
      <c r="I9" s="1">
        <v>17900</v>
      </c>
      <c r="J9" s="1">
        <v>17900</v>
      </c>
      <c r="K9" s="1">
        <v>17900</v>
      </c>
      <c r="L9" s="1">
        <v>17900</v>
      </c>
      <c r="M9" s="1">
        <v>17900</v>
      </c>
      <c r="N9" s="1">
        <v>17900</v>
      </c>
      <c r="O9" s="1">
        <v>17900</v>
      </c>
      <c r="P9" s="1">
        <v>17900</v>
      </c>
      <c r="Q9" s="1">
        <v>17900</v>
      </c>
      <c r="R9" s="1">
        <v>17900</v>
      </c>
      <c r="S9" s="1">
        <v>17900</v>
      </c>
      <c r="T9" s="1">
        <v>17900</v>
      </c>
      <c r="U9" s="1">
        <v>17900</v>
      </c>
      <c r="V9" s="1">
        <v>17900</v>
      </c>
      <c r="W9" s="1">
        <v>17900</v>
      </c>
      <c r="X9" s="1">
        <v>17900</v>
      </c>
      <c r="Y9" s="1">
        <v>17900</v>
      </c>
      <c r="Z9" s="1">
        <v>17900</v>
      </c>
      <c r="AA9" s="1">
        <v>17900</v>
      </c>
    </row>
    <row r="10" spans="2:27" x14ac:dyDescent="0.25">
      <c r="B10" t="s">
        <v>108</v>
      </c>
      <c r="C10" s="7">
        <f t="shared" si="0"/>
        <v>18000</v>
      </c>
      <c r="D10" s="1">
        <v>1500</v>
      </c>
      <c r="E10" s="1">
        <v>1500</v>
      </c>
      <c r="F10" s="1">
        <v>1500</v>
      </c>
      <c r="G10" s="1">
        <v>1500</v>
      </c>
      <c r="H10" s="1">
        <v>1500</v>
      </c>
      <c r="I10" s="1">
        <v>1500</v>
      </c>
      <c r="J10" s="1">
        <v>1500</v>
      </c>
      <c r="K10" s="1">
        <v>1500</v>
      </c>
      <c r="L10" s="1">
        <v>1500</v>
      </c>
      <c r="M10" s="1">
        <v>1500</v>
      </c>
      <c r="N10" s="1">
        <v>1500</v>
      </c>
      <c r="O10" s="1">
        <v>1500</v>
      </c>
      <c r="P10" s="1">
        <v>1500</v>
      </c>
      <c r="Q10" s="1">
        <v>1500</v>
      </c>
      <c r="R10" s="1">
        <v>1500</v>
      </c>
      <c r="S10" s="1">
        <v>1500</v>
      </c>
      <c r="T10" s="1">
        <v>1500</v>
      </c>
      <c r="U10" s="1">
        <v>1500</v>
      </c>
      <c r="V10" s="1">
        <v>1500</v>
      </c>
      <c r="W10" s="1">
        <v>1500</v>
      </c>
      <c r="X10" s="1">
        <v>1500</v>
      </c>
      <c r="Y10" s="1">
        <v>1500</v>
      </c>
      <c r="Z10" s="1">
        <v>1500</v>
      </c>
      <c r="AA10" s="1">
        <v>1500</v>
      </c>
    </row>
    <row r="12" spans="2:27" x14ac:dyDescent="0.25">
      <c r="B12" t="s">
        <v>109</v>
      </c>
      <c r="C12" s="7">
        <f>SUM(C8:C10)</f>
        <v>260400</v>
      </c>
      <c r="D12" s="7">
        <f t="shared" ref="D12:AA12" si="1">SUM(D8:D10)</f>
        <v>21700</v>
      </c>
      <c r="E12" s="7">
        <f t="shared" si="1"/>
        <v>21700</v>
      </c>
      <c r="F12" s="7">
        <f t="shared" si="1"/>
        <v>21700</v>
      </c>
      <c r="G12" s="7">
        <f t="shared" si="1"/>
        <v>21700</v>
      </c>
      <c r="H12" s="7">
        <f t="shared" si="1"/>
        <v>21700</v>
      </c>
      <c r="I12" s="7">
        <f t="shared" si="1"/>
        <v>21700</v>
      </c>
      <c r="J12" s="7">
        <f t="shared" si="1"/>
        <v>21700</v>
      </c>
      <c r="K12" s="7">
        <f t="shared" si="1"/>
        <v>21700</v>
      </c>
      <c r="L12" s="7">
        <f t="shared" si="1"/>
        <v>21700</v>
      </c>
      <c r="M12" s="7">
        <f t="shared" si="1"/>
        <v>21700</v>
      </c>
      <c r="N12" s="7">
        <f t="shared" si="1"/>
        <v>21700</v>
      </c>
      <c r="O12" s="7">
        <f t="shared" si="1"/>
        <v>21700</v>
      </c>
      <c r="P12" s="7">
        <f t="shared" si="1"/>
        <v>21700</v>
      </c>
      <c r="Q12" s="7">
        <f t="shared" si="1"/>
        <v>21700</v>
      </c>
      <c r="R12" s="7">
        <f t="shared" si="1"/>
        <v>21700</v>
      </c>
      <c r="S12" s="7">
        <f t="shared" si="1"/>
        <v>21700</v>
      </c>
      <c r="T12" s="7">
        <f t="shared" si="1"/>
        <v>21700</v>
      </c>
      <c r="U12" s="7">
        <f t="shared" si="1"/>
        <v>21700</v>
      </c>
      <c r="V12" s="7">
        <f t="shared" si="1"/>
        <v>21700</v>
      </c>
      <c r="W12" s="7">
        <f t="shared" si="1"/>
        <v>21700</v>
      </c>
      <c r="X12" s="7">
        <f t="shared" si="1"/>
        <v>21700</v>
      </c>
      <c r="Y12" s="7">
        <f t="shared" si="1"/>
        <v>21700</v>
      </c>
      <c r="Z12" s="7">
        <f t="shared" si="1"/>
        <v>21700</v>
      </c>
      <c r="AA12" s="7">
        <f t="shared" si="1"/>
        <v>21700</v>
      </c>
    </row>
    <row r="14" spans="2:27" x14ac:dyDescent="0.25">
      <c r="B14" t="s">
        <v>110</v>
      </c>
      <c r="C14" s="7">
        <f>C5-C12</f>
        <v>125771.61897219904</v>
      </c>
      <c r="D14" s="7">
        <f t="shared" ref="D14:AA14" si="2">D5-D12</f>
        <v>3500</v>
      </c>
      <c r="E14" s="7">
        <f t="shared" si="2"/>
        <v>4586</v>
      </c>
      <c r="F14" s="7">
        <f t="shared" si="2"/>
        <v>5721.260000000002</v>
      </c>
      <c r="G14" s="7">
        <f t="shared" si="2"/>
        <v>6908.124200000002</v>
      </c>
      <c r="H14" s="7">
        <f t="shared" si="2"/>
        <v>8149.0532540000058</v>
      </c>
      <c r="I14" s="7">
        <f t="shared" si="2"/>
        <v>9446.6302730600073</v>
      </c>
      <c r="J14" s="7">
        <f t="shared" si="2"/>
        <v>10803.567147488608</v>
      </c>
      <c r="K14" s="7">
        <f t="shared" si="2"/>
        <v>12222.711205555097</v>
      </c>
      <c r="L14" s="7">
        <f t="shared" si="2"/>
        <v>13707.05222708713</v>
      </c>
      <c r="M14" s="7">
        <f t="shared" si="2"/>
        <v>15259.729831338147</v>
      </c>
      <c r="N14" s="7">
        <f t="shared" si="2"/>
        <v>16884.041259588092</v>
      </c>
      <c r="O14" s="7">
        <f t="shared" si="2"/>
        <v>18583.449574081955</v>
      </c>
      <c r="P14" s="7">
        <f t="shared" si="2"/>
        <v>20361.592296115872</v>
      </c>
      <c r="Q14" s="7">
        <f t="shared" si="2"/>
        <v>22222.290507354061</v>
      </c>
      <c r="R14" s="7">
        <f t="shared" si="2"/>
        <v>24169.558439805594</v>
      </c>
      <c r="S14" s="7">
        <f t="shared" si="2"/>
        <v>26207.613581312107</v>
      </c>
      <c r="T14" s="7">
        <f t="shared" si="2"/>
        <v>28340.887324900265</v>
      </c>
      <c r="U14" s="7">
        <f t="shared" si="2"/>
        <v>30574.036191940875</v>
      </c>
      <c r="V14" s="7">
        <f t="shared" si="2"/>
        <v>32911.953660734711</v>
      </c>
      <c r="W14" s="7">
        <f t="shared" si="2"/>
        <v>35359.782633918985</v>
      </c>
      <c r="X14" s="7">
        <f t="shared" si="2"/>
        <v>37922.928579962972</v>
      </c>
      <c r="Y14" s="7">
        <f t="shared" si="2"/>
        <v>40607.073386002165</v>
      </c>
      <c r="Z14" s="7">
        <f t="shared" si="2"/>
        <v>43418.189961355049</v>
      </c>
      <c r="AA14" s="7">
        <f t="shared" si="2"/>
        <v>46362.557633279604</v>
      </c>
    </row>
    <row r="16" spans="2:27" x14ac:dyDescent="0.25">
      <c r="B16" t="s">
        <v>111</v>
      </c>
      <c r="C16" s="7">
        <v>525000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2">
    <mergeCell ref="D2:O2"/>
    <mergeCell ref="P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RevenuesvsExpenses</vt:lpstr>
      <vt:lpstr>Construction</vt:lpstr>
      <vt:lpstr>Budget2018</vt:lpstr>
      <vt:lpstr>Budget2019</vt:lpstr>
      <vt:lpstr>Sheet1</vt:lpstr>
      <vt:lpstr>SUM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jazmin huereca</dc:creator>
  <cp:keywords/>
  <dc:description/>
  <cp:lastModifiedBy>Giovanna</cp:lastModifiedBy>
  <cp:revision/>
  <cp:lastPrinted>2019-04-06T01:57:45Z</cp:lastPrinted>
  <dcterms:created xsi:type="dcterms:W3CDTF">2018-04-04T03:15:06Z</dcterms:created>
  <dcterms:modified xsi:type="dcterms:W3CDTF">2019-07-25T13:58:53Z</dcterms:modified>
  <cp:category/>
  <cp:contentStatus/>
</cp:coreProperties>
</file>