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-90" windowWidth="18735" windowHeight="3945" tabRatio="643" firstSheet="1" activeTab="1"/>
  </bookViews>
  <sheets>
    <sheet name="presupuesto" sheetId="3" state="hidden" r:id="rId1"/>
    <sheet name=" Budget Plan" sheetId="5" r:id="rId2"/>
    <sheet name="ANALISIS DE COSTOS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4">#REF!</definedName>
    <definedName name="\55">#REF!</definedName>
    <definedName name="\6">#REF!</definedName>
    <definedName name="\A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U">#REF!</definedName>
    <definedName name="_Key1" hidden="1">'[1]ANALISIS STO DGO'!#REF!</definedName>
    <definedName name="_Key2" hidden="1">'[1]ANALISIS STO DGO'!#REF!</definedName>
    <definedName name="_Order1" hidden="1">255</definedName>
    <definedName name="_Order2" hidden="1">255</definedName>
    <definedName name="_Sort" hidden="1">'[1]ANALISIS STO DGO'!#REF!</definedName>
    <definedName name="a">#REF!</definedName>
    <definedName name="A520.">#REF!</definedName>
    <definedName name="aaa">#REF!</definedName>
    <definedName name="ALBANIL">[2]M.O.!#REF!</definedName>
    <definedName name="ALBANIL2">[2]M.O.!#REF!</definedName>
    <definedName name="ALBANIL3">[2]M.O.!#REF!</definedName>
    <definedName name="ANAL_REV.CER">#REF!</definedName>
    <definedName name="AYUDANTE">[2]M.O.!#REF!</definedName>
    <definedName name="AYUDANTE_7">'[3]E_y H_'!$D$9</definedName>
    <definedName name="b">'[4]Partidas Generales'!$C$8</definedName>
    <definedName name="CACERO">[2]M.O.!#REF!</definedName>
    <definedName name="d">'[4]Partidas Generales'!$D$9</definedName>
    <definedName name="Datos">#REF!</definedName>
    <definedName name="desagues">'[5]EDIFICIO COUNTERS'!#REF!</definedName>
    <definedName name="EXCRCOM3">[2]M.O.!#REF!</definedName>
    <definedName name="_xlnm.Extract">#REF!</definedName>
    <definedName name="IMPERM.">#REF!</definedName>
    <definedName name="LINEA_DE_CONDUC">#N/A</definedName>
    <definedName name="MA">[2]M.O.!#REF!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OBRA_MANO">#REF!</definedName>
    <definedName name="PEON">[2]M.O.!#REF!</definedName>
    <definedName name="PRES_DESAGUES">'[6]EDIFICIO COUNTERS'!#REF!</definedName>
    <definedName name="PRES_DESAGUES1">'[7]EDIFICIO COUNTERS'!#REF!</definedName>
    <definedName name="PRES_ESCALERAS">#REF!</definedName>
    <definedName name="PRES_FINO">'[6]EDIFICIO COUNTERS'!#REF!</definedName>
    <definedName name="PRES_FINO1">'[7]EDIFICIO COUNTERS'!#REF!</definedName>
    <definedName name="PRES_GASTOS">'[6]EDIFICIO COUNTERS'!#REF!</definedName>
    <definedName name="PRES_HORMIGON">'[6]EDIFICIO COUNTERS'!#REF!</definedName>
    <definedName name="PRES_M._TIERRAS">'[6]EDIFICIO COUNTERS'!#REF!</definedName>
    <definedName name="PRES_MISCEL.">'[6]EDIFICIO COUNTERS'!#REF!</definedName>
    <definedName name="PRES_MUROS">#REF!</definedName>
    <definedName name="PRES_OTROS">'[6]EDIFICIO COUNTERS'!#REF!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'[6]EDIFICIO COUNTERS'!#REF!</definedName>
    <definedName name="PRES_REVEST.">'[6]EDIFICIO COUNTERS'!#REF!</definedName>
    <definedName name="PRES_TOTAL">'[6]EDIFICIO COUNTERS'!#REF!</definedName>
    <definedName name="PRES_VENTANAS">'[6]EDIFICIO COUNTERS'!#REF!</definedName>
    <definedName name="_xlnm.Print_Area" localSheetId="1">' Budget Plan'!$A$1:$I$76</definedName>
    <definedName name="_xlnm.Print_Area" localSheetId="0">presupuesto!$A$1:$I$41</definedName>
    <definedName name="_xlnm.Print_Titles" localSheetId="1">' Budget Plan'!$2:$14</definedName>
    <definedName name="_xlnm.Print_Titles" localSheetId="0">presupuesto!$1:$15</definedName>
    <definedName name="PROMEDIO">#REF!</definedName>
    <definedName name="REPORTE_09">#N/A</definedName>
    <definedName name="SALARIO">[2]M.O.!#REF!</definedName>
    <definedName name="TC">[2]M.O.!#REF!</definedName>
    <definedName name="TNC">'[8]Mano Obra'!$D$17</definedName>
    <definedName name="VACIADOAMANO">[9]Ana!$F$3213</definedName>
    <definedName name="yo">[2]M.O.!#REF!</definedName>
    <definedName name="yola">[2]M.O.!#REF!</definedName>
  </definedNames>
  <calcPr calcId="145621" fullPrecision="0"/>
</workbook>
</file>

<file path=xl/calcChain.xml><?xml version="1.0" encoding="utf-8"?>
<calcChain xmlns="http://schemas.openxmlformats.org/spreadsheetml/2006/main">
  <c r="I103" i="5" l="1"/>
  <c r="K101" i="5"/>
  <c r="H111" i="5" l="1"/>
  <c r="I111" i="5" s="1"/>
  <c r="I109" i="5"/>
  <c r="I108" i="5"/>
  <c r="I99" i="5"/>
  <c r="I110" i="5" l="1"/>
  <c r="I100" i="5"/>
  <c r="G107" i="5" l="1"/>
  <c r="H107" i="5" s="1"/>
  <c r="G98" i="5"/>
  <c r="G86" i="5"/>
  <c r="H98" i="5" l="1"/>
  <c r="I98" i="5" s="1"/>
  <c r="I107" i="5"/>
  <c r="I114" i="5" s="1"/>
  <c r="H86" i="5"/>
  <c r="I86" i="5" s="1"/>
  <c r="G92" i="5" l="1"/>
  <c r="F85" i="5"/>
  <c r="G85" i="5" s="1"/>
  <c r="F84" i="5"/>
  <c r="F83" i="5"/>
  <c r="F82" i="5"/>
  <c r="F81" i="5"/>
  <c r="F80" i="5"/>
  <c r="F79" i="5"/>
  <c r="F78" i="5"/>
  <c r="H92" i="5" l="1"/>
  <c r="I92" i="5" s="1"/>
  <c r="H85" i="5" l="1"/>
  <c r="G84" i="5"/>
  <c r="G83" i="5"/>
  <c r="H83" i="5" s="1"/>
  <c r="G82" i="5"/>
  <c r="G81" i="5"/>
  <c r="H81" i="5" s="1"/>
  <c r="G80" i="5"/>
  <c r="A81" i="5"/>
  <c r="A82" i="5" s="1"/>
  <c r="A83" i="5" s="1"/>
  <c r="A84" i="5" s="1"/>
  <c r="A85" i="5" s="1"/>
  <c r="G79" i="5"/>
  <c r="G78" i="5"/>
  <c r="A79" i="5"/>
  <c r="H78" i="5" l="1"/>
  <c r="I78" i="5" s="1"/>
  <c r="H80" i="5"/>
  <c r="I80" i="5" s="1"/>
  <c r="H82" i="5"/>
  <c r="I82" i="5" s="1"/>
  <c r="H84" i="5"/>
  <c r="I84" i="5" s="1"/>
  <c r="H79" i="5"/>
  <c r="I79" i="5" s="1"/>
  <c r="I81" i="5"/>
  <c r="I83" i="5"/>
  <c r="I85" i="5"/>
  <c r="I88" i="5" l="1"/>
  <c r="I116" i="5" s="1"/>
  <c r="I61" i="5"/>
  <c r="I70" i="5" l="1"/>
  <c r="I64" i="5"/>
  <c r="I63" i="5" s="1"/>
  <c r="H64" i="5"/>
  <c r="H63" i="5" s="1"/>
  <c r="G64" i="5"/>
  <c r="G63" i="5" s="1"/>
  <c r="H61" i="5"/>
  <c r="G61" i="5"/>
  <c r="I59" i="5"/>
  <c r="H59" i="5"/>
  <c r="G59" i="5"/>
  <c r="I57" i="5"/>
  <c r="H57" i="5"/>
  <c r="G57" i="5"/>
  <c r="I55" i="5"/>
  <c r="H55" i="5"/>
  <c r="G55" i="5"/>
  <c r="I53" i="5"/>
  <c r="H53" i="5"/>
  <c r="G53" i="5"/>
  <c r="I51" i="5"/>
  <c r="H51" i="5"/>
  <c r="G51" i="5"/>
  <c r="I49" i="5"/>
  <c r="H49" i="5"/>
  <c r="G49" i="5"/>
  <c r="I47" i="5"/>
  <c r="H47" i="5"/>
  <c r="G47" i="5"/>
  <c r="I45" i="5"/>
  <c r="H45" i="5"/>
  <c r="G45" i="5"/>
  <c r="I43" i="5"/>
  <c r="H43" i="5"/>
  <c r="G43" i="5"/>
  <c r="I41" i="5"/>
  <c r="G41" i="5"/>
  <c r="I38" i="5"/>
  <c r="H38" i="5"/>
  <c r="G38" i="5"/>
  <c r="I36" i="5"/>
  <c r="H36" i="5"/>
  <c r="G36" i="5"/>
  <c r="I34" i="5"/>
  <c r="G34" i="5"/>
  <c r="I32" i="5"/>
  <c r="H32" i="5"/>
  <c r="G32" i="5"/>
  <c r="I30" i="5"/>
  <c r="H30" i="5"/>
  <c r="G30" i="5"/>
  <c r="I28" i="5"/>
  <c r="H28" i="5"/>
  <c r="G28" i="5"/>
  <c r="I26" i="5"/>
  <c r="H26" i="5"/>
  <c r="G26" i="5"/>
  <c r="I24" i="5"/>
  <c r="H24" i="5"/>
  <c r="G24" i="5"/>
  <c r="I22" i="5"/>
  <c r="H22" i="5"/>
  <c r="G22" i="5"/>
  <c r="I20" i="5"/>
  <c r="H20" i="5"/>
  <c r="G20" i="5"/>
  <c r="I18" i="5"/>
  <c r="H18" i="5"/>
  <c r="G18" i="5"/>
  <c r="I16" i="5"/>
  <c r="H16" i="5"/>
  <c r="G16" i="5"/>
  <c r="I15" i="5" l="1"/>
  <c r="H40" i="5"/>
  <c r="G40" i="5"/>
  <c r="I40" i="5"/>
  <c r="H15" i="5"/>
  <c r="G15" i="5"/>
  <c r="I66" i="5" l="1"/>
  <c r="I72" i="5" s="1"/>
  <c r="G66" i="5"/>
  <c r="H66" i="5"/>
  <c r="F18" i="3" l="1"/>
  <c r="G18" i="3" s="1"/>
  <c r="F24" i="3"/>
  <c r="F23" i="3"/>
  <c r="G23" i="3" s="1"/>
  <c r="F22" i="3"/>
  <c r="F21" i="3"/>
  <c r="E22" i="3"/>
  <c r="I26" i="3"/>
  <c r="E21" i="3"/>
  <c r="G26" i="3"/>
  <c r="E24" i="3"/>
  <c r="G24" i="3" s="1"/>
  <c r="I24" i="3" s="1"/>
  <c r="A17" i="3"/>
  <c r="A18" i="3" s="1"/>
  <c r="G17" i="3"/>
  <c r="I17" i="3"/>
  <c r="E30" i="3"/>
  <c r="A31" i="3"/>
  <c r="A32" i="3" s="1"/>
  <c r="A33" i="3" s="1"/>
  <c r="A34" i="3" s="1"/>
  <c r="A35" i="3" s="1"/>
  <c r="A21" i="3"/>
  <c r="A22" i="3" s="1"/>
  <c r="A23" i="3" s="1"/>
  <c r="A24" i="3" s="1"/>
  <c r="F8" i="3"/>
  <c r="G79" i="2"/>
  <c r="G81" i="2"/>
  <c r="F82" i="2"/>
  <c r="G82" i="2" s="1"/>
  <c r="G80" i="2"/>
  <c r="E83" i="2"/>
  <c r="G71" i="2"/>
  <c r="G73" i="2"/>
  <c r="G72" i="2"/>
  <c r="F74" i="2"/>
  <c r="G74" i="2" s="1"/>
  <c r="E75" i="2"/>
  <c r="G63" i="2"/>
  <c r="G65" i="2"/>
  <c r="F66" i="2"/>
  <c r="G66" i="2" s="1"/>
  <c r="G64" i="2"/>
  <c r="E67" i="2"/>
  <c r="G55" i="2"/>
  <c r="G57" i="2"/>
  <c r="F58" i="2"/>
  <c r="G58" i="2" s="1"/>
  <c r="G56" i="2"/>
  <c r="E59" i="2"/>
  <c r="G50" i="2"/>
  <c r="F51" i="2" s="1"/>
  <c r="F48" i="2" s="1"/>
  <c r="E51" i="2"/>
  <c r="G42" i="2"/>
  <c r="G44" i="2"/>
  <c r="F45" i="2"/>
  <c r="G45" i="2" s="1"/>
  <c r="G43" i="2"/>
  <c r="E46" i="2"/>
  <c r="G31" i="2"/>
  <c r="G32" i="2"/>
  <c r="G33" i="2"/>
  <c r="G34" i="2"/>
  <c r="G35" i="2"/>
  <c r="E36" i="2"/>
  <c r="G24" i="2"/>
  <c r="G25" i="2"/>
  <c r="G26" i="2"/>
  <c r="E27" i="2"/>
  <c r="E13" i="2"/>
  <c r="G13" i="2" s="1"/>
  <c r="E14" i="2"/>
  <c r="G14" i="2" s="1"/>
  <c r="G15" i="2"/>
  <c r="E16" i="2"/>
  <c r="G16" i="2" s="1"/>
  <c r="E17" i="2"/>
  <c r="G17" i="2" s="1"/>
  <c r="E18" i="2"/>
  <c r="G18" i="2" s="1"/>
  <c r="E19" i="2"/>
  <c r="G19" i="2" s="1"/>
  <c r="E20" i="2"/>
  <c r="G8" i="2"/>
  <c r="F9" i="2" s="1"/>
  <c r="F6" i="2" s="1"/>
  <c r="E9" i="2"/>
  <c r="F46" i="2" l="1"/>
  <c r="F40" i="2" s="1"/>
  <c r="G22" i="3"/>
  <c r="I22" i="3" s="1"/>
  <c r="F27" i="2"/>
  <c r="F22" i="2" s="1"/>
  <c r="G21" i="3"/>
  <c r="I21" i="3" s="1"/>
  <c r="G16" i="3"/>
  <c r="F36" i="2"/>
  <c r="F29" i="2" s="1"/>
  <c r="F67" i="2"/>
  <c r="F61" i="2" s="1"/>
  <c r="F75" i="2"/>
  <c r="F69" i="2" s="1"/>
  <c r="F20" i="2"/>
  <c r="F11" i="2" s="1"/>
  <c r="F59" i="2"/>
  <c r="F53" i="2" s="1"/>
  <c r="F83" i="2"/>
  <c r="F77" i="2" s="1"/>
  <c r="I23" i="3"/>
  <c r="I18" i="3"/>
  <c r="I16" i="3" s="1"/>
  <c r="G20" i="3" l="1"/>
  <c r="G28" i="3" s="1"/>
  <c r="G34" i="3" s="1"/>
  <c r="I34" i="3" s="1"/>
  <c r="I20" i="3"/>
  <c r="I28" i="3" s="1"/>
  <c r="G33" i="3" l="1"/>
  <c r="I33" i="3" s="1"/>
  <c r="G35" i="3"/>
  <c r="I35" i="3" s="1"/>
  <c r="G32" i="3"/>
  <c r="I32" i="3" s="1"/>
  <c r="G31" i="3"/>
  <c r="I31" i="3" s="1"/>
  <c r="G36" i="3" l="1"/>
  <c r="I36" i="3" s="1"/>
  <c r="I37" i="3" s="1"/>
  <c r="I39" i="3" s="1"/>
  <c r="I74" i="5" l="1"/>
</calcChain>
</file>

<file path=xl/comments1.xml><?xml version="1.0" encoding="utf-8"?>
<comments xmlns="http://schemas.openxmlformats.org/spreadsheetml/2006/main">
  <authors>
    <author>Margarita Maria Pilier Alfonseca</author>
  </authors>
  <commentList>
    <comment ref="H98" authorId="0">
      <text>
        <r>
          <rPr>
            <b/>
            <sz val="9"/>
            <color indexed="81"/>
            <rFont val="Tahoma"/>
            <family val="2"/>
          </rPr>
          <t>Margarita Maria Pilier Alfonseca:</t>
        </r>
        <r>
          <rPr>
            <sz val="9"/>
            <color indexed="81"/>
            <rFont val="Tahoma"/>
            <family val="2"/>
          </rPr>
          <t xml:space="preserve">
10% professional fees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Margarita Maria Pilier Alfonseca:</t>
        </r>
        <r>
          <rPr>
            <sz val="9"/>
            <color indexed="81"/>
            <rFont val="Tahoma"/>
            <family val="2"/>
          </rPr>
          <t xml:space="preserve">
10% professional fees</t>
        </r>
      </text>
    </comment>
    <comment ref="H108" authorId="0">
      <text>
        <r>
          <rPr>
            <b/>
            <sz val="9"/>
            <color indexed="81"/>
            <rFont val="Tahoma"/>
            <charset val="1"/>
          </rPr>
          <t>Margarita Maria Pilier Alfonseca:</t>
        </r>
        <r>
          <rPr>
            <sz val="9"/>
            <color indexed="81"/>
            <rFont val="Tahoma"/>
            <charset val="1"/>
          </rPr>
          <t xml:space="preserve">
10% professional fees</t>
        </r>
      </text>
    </comment>
  </commentList>
</comments>
</file>

<file path=xl/sharedStrings.xml><?xml version="1.0" encoding="utf-8"?>
<sst xmlns="http://schemas.openxmlformats.org/spreadsheetml/2006/main" count="383" uniqueCount="187">
  <si>
    <t xml:space="preserve"> </t>
  </si>
  <si>
    <t>Fecha:</t>
  </si>
  <si>
    <t xml:space="preserve"> No.</t>
  </si>
  <si>
    <t xml:space="preserve">               PARTIDAS</t>
  </si>
  <si>
    <t>CANTIDAD</t>
  </si>
  <si>
    <t>UNIDAD</t>
  </si>
  <si>
    <t>UD</t>
  </si>
  <si>
    <t>PA</t>
  </si>
  <si>
    <t>GRUPO PUNTA CANA</t>
  </si>
  <si>
    <t xml:space="preserve">Ubicación:                                        </t>
  </si>
  <si>
    <t>ITBIS</t>
  </si>
  <si>
    <t>MOVIMIENTO DE TIERRAS</t>
  </si>
  <si>
    <t>ace02*</t>
  </si>
  <si>
    <t>QQ</t>
  </si>
  <si>
    <t>Código</t>
  </si>
  <si>
    <t xml:space="preserve">Componente </t>
  </si>
  <si>
    <t>Unidad</t>
  </si>
  <si>
    <t>P.U.</t>
  </si>
  <si>
    <t>Factor</t>
  </si>
  <si>
    <t>Cantidad</t>
  </si>
  <si>
    <t>Valor Total</t>
  </si>
  <si>
    <t>exc03*</t>
  </si>
  <si>
    <t>Excavación a mano en Caliche</t>
  </si>
  <si>
    <t>M3</t>
  </si>
  <si>
    <t>equi06</t>
  </si>
  <si>
    <t>Exc. Caliche a mano  3.00 m. prof.</t>
  </si>
  <si>
    <t>Hr</t>
  </si>
  <si>
    <t>bote01*</t>
  </si>
  <si>
    <t>Bote de Material Sobrante con Equipo (Dist. = 8KM)</t>
  </si>
  <si>
    <t>M3S</t>
  </si>
  <si>
    <t>equi07</t>
  </si>
  <si>
    <t>Cargador Frontal 950</t>
  </si>
  <si>
    <t>equi08</t>
  </si>
  <si>
    <t>Transporte a 5 KM (Capacidad 12 M3)</t>
  </si>
  <si>
    <t>equi00</t>
  </si>
  <si>
    <t>Arranque</t>
  </si>
  <si>
    <t>equi17</t>
  </si>
  <si>
    <t>Operador Cargador Frontal</t>
  </si>
  <si>
    <t>equi18</t>
  </si>
  <si>
    <t>Chofer Camión Volqueta</t>
  </si>
  <si>
    <t>capat01</t>
  </si>
  <si>
    <t>Capataz</t>
  </si>
  <si>
    <t>Día</t>
  </si>
  <si>
    <t>peon</t>
  </si>
  <si>
    <t>Obrero Calificado</t>
  </si>
  <si>
    <t>relle04*</t>
  </si>
  <si>
    <t>Relleno de Reposición</t>
  </si>
  <si>
    <t>M3C</t>
  </si>
  <si>
    <t>equi05</t>
  </si>
  <si>
    <t>Compactador Manual</t>
  </si>
  <si>
    <t>agua</t>
  </si>
  <si>
    <t>Agua</t>
  </si>
  <si>
    <t>Gls.</t>
  </si>
  <si>
    <t>relle01*</t>
  </si>
  <si>
    <t>Relleno de Nivelación en Piso a Mano</t>
  </si>
  <si>
    <t>agre04</t>
  </si>
  <si>
    <t>Caliche</t>
  </si>
  <si>
    <t>pala</t>
  </si>
  <si>
    <t>Pala TRAMONTINA</t>
  </si>
  <si>
    <t>pico</t>
  </si>
  <si>
    <t>Pico TRAMONTINA</t>
  </si>
  <si>
    <t>haz2*</t>
  </si>
  <si>
    <t>H.A. Zapata Muros</t>
  </si>
  <si>
    <t>h210*</t>
  </si>
  <si>
    <t>Hormigón Industrial 210 Kg/cm2</t>
  </si>
  <si>
    <t>car23</t>
  </si>
  <si>
    <t>Reglas y Guarderas</t>
  </si>
  <si>
    <t>M2</t>
  </si>
  <si>
    <t>Acero Estructural</t>
  </si>
  <si>
    <t>moacer</t>
  </si>
  <si>
    <t>M.O. Acero Alta Resistencia</t>
  </si>
  <si>
    <t>Hormigón 210 Kg/cm2</t>
  </si>
  <si>
    <t>hazap*</t>
  </si>
  <si>
    <t>hacol*</t>
  </si>
  <si>
    <t>car08</t>
  </si>
  <si>
    <t>Encofrado y Desencofrado T.C. Columnas</t>
  </si>
  <si>
    <t>ML</t>
  </si>
  <si>
    <t>H.A. Zapata de Columnas C2 (0.30 x 0.30 m)</t>
  </si>
  <si>
    <t>HORMIGON ARMADO</t>
  </si>
  <si>
    <t>Plantilla de Fundación 0.10m</t>
  </si>
  <si>
    <t>H.A. Zapata de Columnas C1 (0.15 x 0.15 m)</t>
  </si>
  <si>
    <t>H.A. Columnas C1 (0.15 x 0.15 m)</t>
  </si>
  <si>
    <t>H.A. Columnas C2 (0.15 x 0.40 m)</t>
  </si>
  <si>
    <t>GASTOS INDIRECTOS</t>
  </si>
  <si>
    <t>TOTAL GASTOS DIRECTOS:</t>
  </si>
  <si>
    <t>Contratista:</t>
  </si>
  <si>
    <t>Localización:</t>
  </si>
  <si>
    <t>TOTAL GENERAL :</t>
  </si>
  <si>
    <t>A</t>
  </si>
  <si>
    <t>B</t>
  </si>
  <si>
    <t>C</t>
  </si>
  <si>
    <t>D</t>
  </si>
  <si>
    <t>E</t>
  </si>
  <si>
    <t>F</t>
  </si>
  <si>
    <t>( D + E )</t>
  </si>
  <si>
    <t>HIGUEY</t>
  </si>
  <si>
    <t>PRECIO UNITARIO             (S/N ITBIS)</t>
  </si>
  <si>
    <t>SUBTOTAL                  (S/N ITBIS)</t>
  </si>
  <si>
    <t>VALOR
RD$ (C/ITBIS)</t>
  </si>
  <si>
    <t>(B X C)</t>
  </si>
  <si>
    <t/>
  </si>
  <si>
    <t>DIRECCIÓN ADMINISTRATIVA DE PROYECTOS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</si>
  <si>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SUB-TOTAL GASTOS INDIRECTOS</t>
  </si>
  <si>
    <t>PUNTA CANA</t>
  </si>
  <si>
    <t>ITBIS GENERAL Según norma 07-2007 ( CD + CI )x 16% x 10%</t>
  </si>
  <si>
    <t>Direccion tecnica</t>
  </si>
  <si>
    <t>Seguro y Fianza</t>
  </si>
  <si>
    <t>Prestaciones Laborales</t>
  </si>
  <si>
    <t>Trabajos Generales</t>
  </si>
  <si>
    <t>M3E</t>
  </si>
  <si>
    <t>Gastos Administrativos</t>
  </si>
  <si>
    <t>PRESUPUESTO PROYECTO No. 904: "TRANSPORTE, CARGUIO, REGADO, NIVELADO Y COMPACTADO DE MATERIAL EN CASA CLUB CORALES "</t>
  </si>
  <si>
    <t>Regado, Nivelado y Compactado de rellano</t>
  </si>
  <si>
    <t>Terminacion de superficie</t>
  </si>
  <si>
    <t>m2</t>
  </si>
  <si>
    <t xml:space="preserve">transporte </t>
  </si>
  <si>
    <t>Movilizacion de Equipos</t>
  </si>
  <si>
    <t>Movimiento de Tierra</t>
  </si>
  <si>
    <t>P.A.</t>
  </si>
  <si>
    <t>Ingenieria y Topografias</t>
  </si>
  <si>
    <t>Carguio de material cortado para relleno en mina de corales ( C-S = 1.30 )</t>
  </si>
  <si>
    <t xml:space="preserve">Acarreo de Material para relleno a 3 Km </t>
  </si>
  <si>
    <t>CAFETERIA</t>
  </si>
  <si>
    <t>.</t>
  </si>
  <si>
    <t xml:space="preserve">Location:                                 </t>
  </si>
  <si>
    <t>Date:</t>
  </si>
  <si>
    <t>ITEMS</t>
  </si>
  <si>
    <t>UNIT</t>
  </si>
  <si>
    <t>QUANTITY</t>
  </si>
  <si>
    <t>UNIT PRICE           (S/N ITBIS)</t>
  </si>
  <si>
    <t>VALUE
RD$ (C/ITBIS)</t>
  </si>
  <si>
    <t>OFFICES</t>
  </si>
  <si>
    <t>PRELIMINARY</t>
  </si>
  <si>
    <t>CONCRETE</t>
  </si>
  <si>
    <t>CONCRETE BLOCK WALLS</t>
  </si>
  <si>
    <t>SURFACE FINISHING</t>
  </si>
  <si>
    <t>PAINTINGS</t>
  </si>
  <si>
    <t>FLOOR FINISH</t>
  </si>
  <si>
    <t>DOORS AND WINDOWS</t>
  </si>
  <si>
    <t>FINAL COMPLETION</t>
  </si>
  <si>
    <t>ELECTRICAL INSTALLATIONS</t>
  </si>
  <si>
    <t>SANITARY INSTALLATIONS</t>
  </si>
  <si>
    <t>TOTAL DIRECT COSTS:</t>
  </si>
  <si>
    <t>OVERHEAD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</si>
  <si>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SUB-TOTAL EXPENSES I</t>
  </si>
  <si>
    <t>SUB-TOTAL CIVIL WORKS AND ELECTRIC:</t>
  </si>
  <si>
    <t>According GENERAL ITBIS 07-2007 standard ( CD + CI )x 18% x 10%</t>
  </si>
  <si>
    <t>EXISTING BUILDING PAINTING</t>
  </si>
  <si>
    <t>Tasa de dollar</t>
  </si>
  <si>
    <t>ROOFING</t>
  </si>
  <si>
    <t>EARTH WORK</t>
  </si>
  <si>
    <t>ud</t>
  </si>
  <si>
    <t xml:space="preserve">FUNDACION PUNTACANA </t>
  </si>
  <si>
    <t xml:space="preserve">Desk top computers </t>
  </si>
  <si>
    <t xml:space="preserve">STORAGE UNIT </t>
  </si>
  <si>
    <t>G</t>
  </si>
  <si>
    <t>Secretarial chair</t>
  </si>
  <si>
    <t>Visitor chair</t>
  </si>
  <si>
    <t xml:space="preserve">computer tables </t>
  </si>
  <si>
    <t>Desktop</t>
  </si>
  <si>
    <t>Drawers module</t>
  </si>
  <si>
    <t>Metal cabinet</t>
  </si>
  <si>
    <t>Refrigerator</t>
  </si>
  <si>
    <t xml:space="preserve">meeting table (for teachers meeting room) </t>
  </si>
  <si>
    <t xml:space="preserve">Storage Unit (Trailer style) </t>
  </si>
  <si>
    <t>REINFORCEMENT OF ENGLISH TEACHING PROGRAM</t>
  </si>
  <si>
    <t xml:space="preserve">Hiring of an expert Coach for English teachers </t>
  </si>
  <si>
    <t>Hiring of Consultant in Teaching Methods</t>
  </si>
  <si>
    <t xml:space="preserve">FURNITURES AND EQUIPMENT </t>
  </si>
  <si>
    <t>IMPROVEMENT OF TEACHING METHODS PROGRAM</t>
  </si>
  <si>
    <t xml:space="preserve">GRAND TOTAL </t>
  </si>
  <si>
    <t>November 2013</t>
  </si>
  <si>
    <t>BUDGET PLAN</t>
  </si>
  <si>
    <t>IMPROVE SCHOOL FOR 700 STUDENTS IN NEED -PROJECT # 10567</t>
  </si>
  <si>
    <t>Veron , Punta Cana</t>
  </si>
  <si>
    <t xml:space="preserve">pack </t>
  </si>
  <si>
    <t>English language learning classroom cds (listening)</t>
  </si>
  <si>
    <t>Trainers fees (workshops for teachers)</t>
  </si>
  <si>
    <t>Printed Educational materials (workshop for teachers)</t>
  </si>
  <si>
    <t>Audiovisual materials (workshop for teachers)</t>
  </si>
  <si>
    <t>pack</t>
  </si>
  <si>
    <t>hours</t>
  </si>
  <si>
    <t xml:space="preserve">English language textbooks </t>
  </si>
  <si>
    <t>Projector with projection screen (data show)</t>
  </si>
  <si>
    <t xml:space="preserve">Headsets </t>
  </si>
  <si>
    <t xml:space="preserve"> Classroom for integral technological workshops (remodelation of infrastructure, equipment and furniture)</t>
  </si>
  <si>
    <t xml:space="preserve">English teachers annual fees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</si>
</sst>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RD$&quot;* #,##0_);_(&quot;RD$&quot;* \(#,##0\);_(&quot;RD$&quot;* &quot;-&quot;_);_(@_)"/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$&quot;#,##0.00_);\(&quot;$&quot;#,##0.00\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_-&quot;RD$&quot;* #,##0.00_-;\-&quot;RD$&quot;* #,##0.00_-;_-&quot;RD$&quot;* &quot;-&quot;??_-;_-@_-"/>
    <numFmt numFmtId="168" formatCode="0.00_)"/>
    <numFmt numFmtId="169" formatCode="0&quot;.-&quot;"/>
    <numFmt numFmtId="170" formatCode="_-[$RD$-1C0A]* #,##0.00_ ;_-[$RD$-1C0A]* \-#,##0.00\ ;_-[$RD$-1C0A]* &quot;-&quot;??_ ;_-@_ "/>
    <numFmt numFmtId="171" formatCode="_([$RD$-1C0A]* #,##0.00_);_([$RD$-1C0A]* \(#,##0.00\);_([$RD$-1C0A]* &quot;-&quot;??_);_(@_)"/>
    <numFmt numFmtId="172" formatCode="&quot;$&quot;#,##0.00"/>
    <numFmt numFmtId="173" formatCode="_(* #,##0.00000_);_(* \(#,##0.00000\);_(* &quot;-&quot;??_);_(@_)"/>
    <numFmt numFmtId="174" formatCode="&quot;TOTAL POR &quot;@"/>
    <numFmt numFmtId="175" formatCode="_(* #,##0.0000_);_(* \(#,##0.0000\);_(* &quot;-&quot;??_);_(@_)"/>
    <numFmt numFmtId="176" formatCode="_(* #,##0.000_);_(* \(#,##0.000\);_(* &quot;-&quot;??_);_(@_)"/>
    <numFmt numFmtId="177" formatCode="[$-409]d\-mmm\-yy;@"/>
    <numFmt numFmtId="178" formatCode="_([$€]* #,##0.00_);_([$€]* \(#,##0.00\);_([$€]* &quot;-&quot;??_);_(@_)"/>
    <numFmt numFmtId="179" formatCode="&quot;$&quot;#,##0;[Red]\-&quot;$&quot;#,##0"/>
    <numFmt numFmtId="180" formatCode="#."/>
    <numFmt numFmtId="181" formatCode="#,##0.000_);\(#,##0.000\)"/>
    <numFmt numFmtId="182" formatCode="#,##0.00;[Red]#,##0.00"/>
    <numFmt numFmtId="183" formatCode="_-&quot;US$&quot;* #,##0.00_-;\-&quot;US$&quot;* #,##0.00_-;_-&quot;US$&quot;* &quot;-&quot;??_-;_-@_-"/>
    <numFmt numFmtId="184" formatCode="[$USD]\ #,##0.00"/>
    <numFmt numFmtId="185" formatCode="_([$USD]\ * #,##0.00_);_([$USD]\ * \(#,##0.00\);_([$USD]\ * &quot;-&quot;??_);_(@_)"/>
  </numFmts>
  <fonts count="60">
    <font>
      <sz val="10"/>
      <name val="Arial"/>
    </font>
    <font>
      <sz val="10"/>
      <name val="Arial"/>
      <family val="2"/>
    </font>
    <font>
      <b/>
      <sz val="16"/>
      <name val="Times New Roman"/>
      <family val="1"/>
    </font>
    <font>
      <sz val="10"/>
      <name val="Verdana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1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i/>
      <sz val="12"/>
      <name val="Arial"/>
      <family val="2"/>
    </font>
    <font>
      <b/>
      <i/>
      <u val="singleAccounting"/>
      <sz val="12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 New"/>
      <family val="3"/>
    </font>
    <font>
      <sz val="11"/>
      <color indexed="20"/>
      <name val="Calibri"/>
      <family val="2"/>
    </font>
    <font>
      <sz val="10"/>
      <name val="Geneva"/>
    </font>
    <font>
      <sz val="10"/>
      <name val="Courier"/>
      <family val="3"/>
    </font>
    <font>
      <b/>
      <i/>
      <sz val="16"/>
      <name val="Helv"/>
    </font>
    <font>
      <sz val="10"/>
      <name val="MS Sans Serif"/>
      <family val="2"/>
    </font>
    <font>
      <b/>
      <sz val="24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23"/>
      <name val="Calibri"/>
      <family val="2"/>
    </font>
    <font>
      <sz val="12"/>
      <color theme="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8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2" fillId="14" borderId="0" applyNumberFormat="0" applyBorder="0" applyAlignment="0" applyProtection="0"/>
    <xf numFmtId="0" fontId="13" fillId="16" borderId="1" applyNumberFormat="0" applyAlignment="0" applyProtection="0"/>
    <xf numFmtId="0" fontId="14" fillId="8" borderId="2" applyNumberFormat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178" fontId="1" fillId="0" borderId="0" applyFont="0" applyFill="0" applyBorder="0" applyAlignment="0" applyProtection="0"/>
    <xf numFmtId="0" fontId="16" fillId="20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1" applyNumberFormat="0" applyAlignment="0" applyProtection="0"/>
    <xf numFmtId="0" fontId="21" fillId="0" borderId="6" applyNumberFormat="0" applyFill="0" applyAlignment="0" applyProtection="0"/>
    <xf numFmtId="0" fontId="21" fillId="15" borderId="0" applyNumberFormat="0" applyBorder="0" applyAlignment="0" applyProtection="0"/>
    <xf numFmtId="0" fontId="37" fillId="0" borderId="0"/>
    <xf numFmtId="0" fontId="37" fillId="0" borderId="0"/>
    <xf numFmtId="0" fontId="3" fillId="0" borderId="0"/>
    <xf numFmtId="0" fontId="1" fillId="14" borderId="7" applyNumberFormat="0" applyFont="0" applyAlignment="0" applyProtection="0"/>
    <xf numFmtId="0" fontId="22" fillId="16" borderId="8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/>
    <xf numFmtId="166" fontId="37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6" fillId="30" borderId="0" applyNumberFormat="0" applyBorder="0" applyAlignment="0" applyProtection="0"/>
    <xf numFmtId="0" fontId="38" fillId="35" borderId="1" applyNumberFormat="0" applyAlignment="0" applyProtection="0"/>
    <xf numFmtId="0" fontId="14" fillId="36" borderId="2" applyNumberFormat="0" applyAlignment="0" applyProtection="0"/>
    <xf numFmtId="0" fontId="24" fillId="0" borderId="56" applyNumberFormat="0" applyFill="0" applyAlignment="0" applyProtection="0"/>
    <xf numFmtId="43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9" fillId="31" borderId="1" applyNumberFormat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80" fontId="40" fillId="0" borderId="0">
      <protection locked="0"/>
    </xf>
    <xf numFmtId="180" fontId="41" fillId="0" borderId="0">
      <protection locked="0"/>
    </xf>
    <xf numFmtId="180" fontId="41" fillId="0" borderId="0">
      <protection locked="0"/>
    </xf>
    <xf numFmtId="180" fontId="41" fillId="0" borderId="0">
      <protection locked="0"/>
    </xf>
    <xf numFmtId="180" fontId="41" fillId="0" borderId="0">
      <protection locked="0"/>
    </xf>
    <xf numFmtId="180" fontId="41" fillId="0" borderId="0">
      <protection locked="0"/>
    </xf>
    <xf numFmtId="180" fontId="41" fillId="0" borderId="0">
      <protection locked="0"/>
    </xf>
    <xf numFmtId="2" fontId="42" fillId="0" borderId="0" applyFont="0" applyFill="0" applyBorder="0" applyAlignment="0" applyProtection="0"/>
    <xf numFmtId="0" fontId="43" fillId="41" borderId="0" applyNumberFormat="0" applyBorder="0" applyAlignment="0" applyProtection="0"/>
    <xf numFmtId="41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45" fillId="0" borderId="0"/>
    <xf numFmtId="168" fontId="4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181" fontId="27" fillId="0" borderId="0"/>
    <xf numFmtId="181" fontId="27" fillId="0" borderId="0"/>
    <xf numFmtId="42" fontId="27" fillId="0" borderId="0"/>
    <xf numFmtId="42" fontId="27" fillId="0" borderId="0"/>
    <xf numFmtId="0" fontId="37" fillId="0" borderId="0"/>
    <xf numFmtId="0" fontId="37" fillId="0" borderId="0"/>
    <xf numFmtId="0" fontId="37" fillId="0" borderId="0"/>
    <xf numFmtId="0" fontId="48" fillId="0" borderId="0"/>
    <xf numFmtId="0" fontId="47" fillId="28" borderId="7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" fontId="37" fillId="0" borderId="16">
      <alignment wrapText="1"/>
    </xf>
    <xf numFmtId="0" fontId="49" fillId="35" borderId="0">
      <alignment horizontal="left" vertical="top"/>
    </xf>
    <xf numFmtId="0" fontId="50" fillId="35" borderId="0">
      <alignment horizontal="center" vertical="top"/>
    </xf>
    <xf numFmtId="0" fontId="51" fillId="35" borderId="0">
      <alignment horizontal="left" vertical="top"/>
    </xf>
    <xf numFmtId="0" fontId="49" fillId="35" borderId="0">
      <alignment horizontal="center" vertical="top"/>
    </xf>
    <xf numFmtId="0" fontId="49" fillId="35" borderId="0">
      <alignment horizontal="center" vertical="top"/>
    </xf>
    <xf numFmtId="0" fontId="51" fillId="35" borderId="0">
      <alignment horizontal="center" vertical="top"/>
    </xf>
    <xf numFmtId="0" fontId="51" fillId="35" borderId="0">
      <alignment horizontal="right" vertical="top"/>
    </xf>
    <xf numFmtId="0" fontId="51" fillId="42" borderId="0">
      <alignment horizontal="right" vertical="top"/>
    </xf>
    <xf numFmtId="0" fontId="51" fillId="42" borderId="0">
      <alignment horizontal="left" vertical="top"/>
    </xf>
    <xf numFmtId="0" fontId="49" fillId="35" borderId="0">
      <alignment horizontal="right" vertical="top"/>
    </xf>
    <xf numFmtId="0" fontId="49" fillId="35" borderId="0">
      <alignment horizontal="left" vertical="top"/>
    </xf>
    <xf numFmtId="0" fontId="22" fillId="35" borderId="8" applyNumberFormat="0" applyAlignment="0" applyProtection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2" fontId="26" fillId="0" borderId="0"/>
    <xf numFmtId="0" fontId="23" fillId="0" borderId="0" applyNumberFormat="0" applyFill="0" applyBorder="0" applyAlignment="0" applyProtection="0"/>
    <xf numFmtId="0" fontId="17" fillId="0" borderId="57" applyNumberFormat="0" applyFill="0" applyAlignment="0" applyProtection="0"/>
    <xf numFmtId="0" fontId="18" fillId="0" borderId="58" applyNumberFormat="0" applyFill="0" applyAlignment="0" applyProtection="0"/>
    <xf numFmtId="0" fontId="19" fillId="0" borderId="5" applyNumberFormat="0" applyFill="0" applyAlignment="0" applyProtection="0"/>
  </cellStyleXfs>
  <cellXfs count="285">
    <xf numFmtId="0" fontId="0" fillId="0" borderId="0" xfId="0"/>
    <xf numFmtId="0" fontId="0" fillId="0" borderId="0" xfId="0" applyBorder="1"/>
    <xf numFmtId="0" fontId="4" fillId="0" borderId="10" xfId="47" applyFont="1" applyFill="1" applyBorder="1" applyAlignment="1">
      <alignment vertical="top"/>
    </xf>
    <xf numFmtId="0" fontId="4" fillId="0" borderId="10" xfId="47" applyFont="1" applyFill="1" applyBorder="1" applyAlignment="1">
      <alignment horizontal="center" vertical="top"/>
    </xf>
    <xf numFmtId="165" fontId="4" fillId="0" borderId="10" xfId="32" applyFont="1" applyFill="1" applyBorder="1" applyAlignment="1">
      <alignment horizontal="center" vertical="top"/>
    </xf>
    <xf numFmtId="0" fontId="2" fillId="0" borderId="0" xfId="47" applyFont="1" applyFill="1" applyAlignment="1">
      <alignment vertical="top"/>
    </xf>
    <xf numFmtId="0" fontId="4" fillId="0" borderId="0" xfId="47" applyFont="1" applyFill="1" applyAlignment="1">
      <alignment vertical="top"/>
    </xf>
    <xf numFmtId="0" fontId="5" fillId="0" borderId="0" xfId="47" applyFont="1" applyFill="1" applyAlignment="1">
      <alignment vertical="top"/>
    </xf>
    <xf numFmtId="0" fontId="6" fillId="0" borderId="0" xfId="47" applyFont="1" applyFill="1" applyAlignment="1">
      <alignment vertical="top"/>
    </xf>
    <xf numFmtId="165" fontId="6" fillId="0" borderId="0" xfId="32" applyFont="1" applyFill="1" applyAlignment="1">
      <alignment vertical="top"/>
    </xf>
    <xf numFmtId="43" fontId="5" fillId="0" borderId="0" xfId="29" applyFont="1" applyFill="1" applyAlignment="1">
      <alignment horizontal="center" vertical="top"/>
    </xf>
    <xf numFmtId="0" fontId="3" fillId="0" borderId="0" xfId="47" applyFill="1" applyAlignment="1"/>
    <xf numFmtId="0" fontId="4" fillId="0" borderId="11" xfId="47" applyFont="1" applyFill="1" applyBorder="1" applyAlignment="1">
      <alignment vertical="top"/>
    </xf>
    <xf numFmtId="43" fontId="4" fillId="0" borderId="10" xfId="29" applyFont="1" applyFill="1" applyBorder="1" applyAlignment="1">
      <alignment horizontal="center" vertical="top"/>
    </xf>
    <xf numFmtId="173" fontId="4" fillId="0" borderId="10" xfId="29" applyNumberFormat="1" applyFont="1" applyFill="1" applyBorder="1" applyAlignment="1">
      <alignment horizontal="center" vertical="top"/>
    </xf>
    <xf numFmtId="165" fontId="4" fillId="0" borderId="12" xfId="32" applyFont="1" applyFill="1" applyBorder="1" applyAlignment="1">
      <alignment horizontal="center" vertical="top"/>
    </xf>
    <xf numFmtId="0" fontId="7" fillId="0" borderId="0" xfId="47" applyFont="1" applyFill="1" applyAlignment="1">
      <alignment vertical="top"/>
    </xf>
    <xf numFmtId="0" fontId="7" fillId="0" borderId="0" xfId="47" applyFont="1" applyFill="1" applyAlignment="1">
      <alignment horizontal="center" vertical="top"/>
    </xf>
    <xf numFmtId="165" fontId="7" fillId="0" borderId="0" xfId="32" applyFont="1" applyFill="1" applyAlignment="1">
      <alignment horizontal="right" vertical="top"/>
    </xf>
    <xf numFmtId="43" fontId="7" fillId="0" borderId="0" xfId="29" applyFont="1" applyFill="1" applyAlignment="1">
      <alignment horizontal="right" vertical="top"/>
    </xf>
    <xf numFmtId="173" fontId="7" fillId="0" borderId="0" xfId="29" applyNumberFormat="1" applyFont="1" applyFill="1" applyAlignment="1">
      <alignment horizontal="right" vertical="top"/>
    </xf>
    <xf numFmtId="174" fontId="4" fillId="0" borderId="0" xfId="32" applyNumberFormat="1" applyFont="1" applyFill="1" applyAlignment="1">
      <alignment horizontal="right" vertical="top"/>
    </xf>
    <xf numFmtId="43" fontId="6" fillId="0" borderId="0" xfId="29" applyFont="1" applyFill="1" applyAlignment="1">
      <alignment vertical="top"/>
    </xf>
    <xf numFmtId="173" fontId="6" fillId="0" borderId="0" xfId="29" applyNumberFormat="1" applyFont="1" applyFill="1" applyAlignment="1">
      <alignment vertical="top"/>
    </xf>
    <xf numFmtId="172" fontId="4" fillId="0" borderId="0" xfId="29" applyNumberFormat="1" applyFont="1" applyFill="1" applyAlignment="1">
      <alignment horizontal="right" vertical="top"/>
    </xf>
    <xf numFmtId="0" fontId="4" fillId="0" borderId="0" xfId="47" applyFont="1" applyFill="1" applyBorder="1" applyAlignment="1">
      <alignment vertical="top"/>
    </xf>
    <xf numFmtId="0" fontId="5" fillId="0" borderId="0" xfId="47" applyFont="1" applyFill="1" applyBorder="1" applyAlignment="1">
      <alignment vertical="top"/>
    </xf>
    <xf numFmtId="0" fontId="6" fillId="0" borderId="0" xfId="47" applyFont="1" applyFill="1" applyBorder="1" applyAlignment="1">
      <alignment vertical="top"/>
    </xf>
    <xf numFmtId="165" fontId="6" fillId="0" borderId="0" xfId="32" applyFont="1" applyFill="1" applyBorder="1" applyAlignment="1">
      <alignment vertical="top"/>
    </xf>
    <xf numFmtId="43" fontId="5" fillId="0" borderId="0" xfId="29" applyFont="1" applyFill="1" applyBorder="1" applyAlignment="1">
      <alignment horizontal="center" vertical="top"/>
    </xf>
    <xf numFmtId="0" fontId="8" fillId="0" borderId="13" xfId="0" quotePrefix="1" applyFont="1" applyBorder="1" applyAlignment="1" applyProtection="1">
      <alignment horizontal="left" vertical="center"/>
    </xf>
    <xf numFmtId="175" fontId="7" fillId="0" borderId="0" xfId="29" applyNumberFormat="1" applyFont="1" applyFill="1" applyAlignment="1">
      <alignment horizontal="right" vertical="top"/>
    </xf>
    <xf numFmtId="176" fontId="7" fillId="0" borderId="0" xfId="29" applyNumberFormat="1" applyFont="1" applyFill="1" applyAlignment="1">
      <alignment horizontal="right" vertical="top"/>
    </xf>
    <xf numFmtId="173" fontId="7" fillId="21" borderId="0" xfId="29" applyNumberFormat="1" applyFont="1" applyFill="1" applyAlignment="1">
      <alignment horizontal="right" vertical="top"/>
    </xf>
    <xf numFmtId="173" fontId="7" fillId="22" borderId="0" xfId="29" applyNumberFormat="1" applyFont="1" applyFill="1" applyAlignment="1">
      <alignment horizontal="right" vertical="top"/>
    </xf>
    <xf numFmtId="172" fontId="5" fillId="0" borderId="0" xfId="29" applyNumberFormat="1" applyFont="1" applyFill="1" applyBorder="1" applyAlignment="1">
      <alignment vertical="top"/>
    </xf>
    <xf numFmtId="164" fontId="5" fillId="0" borderId="0" xfId="29" applyNumberFormat="1" applyFont="1" applyFill="1" applyBorder="1" applyAlignment="1">
      <alignment vertical="top"/>
    </xf>
    <xf numFmtId="4" fontId="9" fillId="0" borderId="14" xfId="0" applyNumberFormat="1" applyFont="1" applyBorder="1" applyProtection="1"/>
    <xf numFmtId="4" fontId="9" fillId="0" borderId="15" xfId="0" applyNumberFormat="1" applyFont="1" applyBorder="1" applyProtection="1"/>
    <xf numFmtId="4" fontId="9" fillId="0" borderId="16" xfId="0" applyNumberFormat="1" applyFont="1" applyBorder="1" applyAlignment="1" applyProtection="1">
      <alignment wrapText="1"/>
    </xf>
    <xf numFmtId="4" fontId="27" fillId="0" borderId="16" xfId="0" applyNumberFormat="1" applyFont="1" applyBorder="1" applyAlignment="1" applyProtection="1">
      <alignment horizontal="center"/>
    </xf>
    <xf numFmtId="43" fontId="27" fillId="0" borderId="16" xfId="30" applyFont="1" applyBorder="1" applyProtection="1"/>
    <xf numFmtId="43" fontId="27" fillId="0" borderId="17" xfId="30" applyFont="1" applyBorder="1" applyProtection="1"/>
    <xf numFmtId="4" fontId="9" fillId="23" borderId="16" xfId="0" applyNumberFormat="1" applyFont="1" applyFill="1" applyBorder="1" applyAlignment="1" applyProtection="1">
      <alignment vertical="center"/>
    </xf>
    <xf numFmtId="4" fontId="27" fillId="23" borderId="16" xfId="0" applyNumberFormat="1" applyFont="1" applyFill="1" applyBorder="1" applyAlignment="1" applyProtection="1">
      <alignment vertical="center"/>
    </xf>
    <xf numFmtId="43" fontId="9" fillId="0" borderId="18" xfId="3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9" fillId="0" borderId="19" xfId="30" applyFont="1" applyBorder="1" applyAlignment="1" applyProtection="1">
      <alignment horizontal="center" vertical="center" wrapText="1"/>
    </xf>
    <xf numFmtId="2" fontId="28" fillId="0" borderId="0" xfId="0" applyNumberFormat="1" applyFont="1" applyBorder="1"/>
    <xf numFmtId="0" fontId="27" fillId="0" borderId="0" xfId="0" applyFont="1" applyBorder="1"/>
    <xf numFmtId="2" fontId="29" fillId="0" borderId="0" xfId="0" applyNumberFormat="1" applyFont="1" applyBorder="1"/>
    <xf numFmtId="0" fontId="25" fillId="0" borderId="0" xfId="0" applyFont="1" applyBorder="1"/>
    <xf numFmtId="0" fontId="9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171" fontId="9" fillId="0" borderId="0" xfId="0" applyNumberFormat="1" applyFont="1" applyBorder="1" applyAlignment="1" applyProtection="1">
      <alignment horizontal="center" vertical="top" wrapText="1"/>
    </xf>
    <xf numFmtId="170" fontId="9" fillId="0" borderId="0" xfId="0" applyNumberFormat="1" applyFont="1" applyBorder="1" applyAlignment="1" applyProtection="1">
      <alignment horizontal="left" vertical="center" wrapText="1"/>
    </xf>
    <xf numFmtId="4" fontId="27" fillId="0" borderId="0" xfId="0" applyNumberFormat="1" applyFont="1" applyBorder="1" applyProtection="1"/>
    <xf numFmtId="171" fontId="27" fillId="0" borderId="0" xfId="0" applyNumberFormat="1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 wrapText="1"/>
      <protection locked="0"/>
    </xf>
    <xf numFmtId="0" fontId="27" fillId="0" borderId="0" xfId="0" applyFont="1" applyBorder="1" applyProtection="1"/>
    <xf numFmtId="0" fontId="9" fillId="0" borderId="0" xfId="0" applyFont="1" applyBorder="1" applyAlignment="1" applyProtection="1">
      <alignment horizontal="center" vertical="top" wrapText="1"/>
    </xf>
    <xf numFmtId="170" fontId="9" fillId="0" borderId="0" xfId="0" applyNumberFormat="1" applyFont="1" applyBorder="1" applyAlignment="1" applyProtection="1">
      <alignment horizontal="center" vertical="top" wrapText="1"/>
    </xf>
    <xf numFmtId="4" fontId="30" fillId="23" borderId="20" xfId="0" applyNumberFormat="1" applyFont="1" applyFill="1" applyBorder="1" applyAlignment="1" applyProtection="1"/>
    <xf numFmtId="170" fontId="31" fillId="23" borderId="21" xfId="0" applyNumberFormat="1" applyFont="1" applyFill="1" applyBorder="1" applyAlignment="1" applyProtection="1">
      <alignment horizontal="center"/>
    </xf>
    <xf numFmtId="4" fontId="27" fillId="0" borderId="22" xfId="0" applyNumberFormat="1" applyFont="1" applyBorder="1" applyAlignment="1" applyProtection="1">
      <alignment wrapText="1"/>
    </xf>
    <xf numFmtId="4" fontId="27" fillId="0" borderId="23" xfId="0" applyNumberFormat="1" applyFont="1" applyBorder="1" applyProtection="1"/>
    <xf numFmtId="169" fontId="9" fillId="0" borderId="15" xfId="0" quotePrefix="1" applyNumberFormat="1" applyFont="1" applyBorder="1" applyAlignment="1" applyProtection="1">
      <alignment horizontal="right"/>
    </xf>
    <xf numFmtId="168" fontId="9" fillId="0" borderId="16" xfId="0" applyNumberFormat="1" applyFont="1" applyBorder="1" applyAlignment="1" applyProtection="1">
      <alignment wrapText="1"/>
    </xf>
    <xf numFmtId="2" fontId="27" fillId="0" borderId="15" xfId="0" quotePrefix="1" applyNumberFormat="1" applyFont="1" applyBorder="1" applyAlignment="1" applyProtection="1">
      <alignment horizontal="right"/>
    </xf>
    <xf numFmtId="4" fontId="27" fillId="0" borderId="16" xfId="0" applyNumberFormat="1" applyFont="1" applyBorder="1" applyAlignment="1" applyProtection="1">
      <alignment wrapText="1"/>
    </xf>
    <xf numFmtId="0" fontId="27" fillId="0" borderId="16" xfId="0" applyFont="1" applyBorder="1" applyAlignment="1" applyProtection="1">
      <alignment horizontal="center"/>
    </xf>
    <xf numFmtId="171" fontId="27" fillId="0" borderId="16" xfId="0" applyNumberFormat="1" applyFont="1" applyBorder="1" applyProtection="1"/>
    <xf numFmtId="170" fontId="27" fillId="0" borderId="16" xfId="0" applyNumberFormat="1" applyFont="1" applyBorder="1" applyProtection="1"/>
    <xf numFmtId="170" fontId="27" fillId="0" borderId="16" xfId="0" applyNumberFormat="1" applyFont="1" applyFill="1" applyBorder="1" applyProtection="1"/>
    <xf numFmtId="171" fontId="27" fillId="0" borderId="17" xfId="0" applyNumberFormat="1" applyFont="1" applyFill="1" applyBorder="1" applyProtection="1"/>
    <xf numFmtId="167" fontId="9" fillId="0" borderId="23" xfId="31" applyFont="1" applyBorder="1" applyProtection="1"/>
    <xf numFmtId="4" fontId="30" fillId="23" borderId="11" xfId="0" applyNumberFormat="1" applyFont="1" applyFill="1" applyBorder="1" applyAlignment="1" applyProtection="1"/>
    <xf numFmtId="4" fontId="27" fillId="0" borderId="0" xfId="0" applyNumberFormat="1" applyFont="1" applyBorder="1"/>
    <xf numFmtId="170" fontId="27" fillId="0" borderId="0" xfId="0" applyNumberFormat="1" applyFont="1" applyBorder="1" applyProtection="1"/>
    <xf numFmtId="0" fontId="27" fillId="0" borderId="24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27" fillId="0" borderId="26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43" fontId="9" fillId="0" borderId="26" xfId="30" applyFont="1" applyBorder="1" applyAlignment="1" applyProtection="1">
      <alignment horizontal="center" vertical="center" wrapText="1"/>
    </xf>
    <xf numFmtId="43" fontId="9" fillId="0" borderId="27" xfId="30" applyFont="1" applyBorder="1" applyAlignment="1" applyProtection="1">
      <alignment horizontal="center" vertical="center" wrapText="1"/>
    </xf>
    <xf numFmtId="43" fontId="9" fillId="0" borderId="28" xfId="30" applyFont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9" xfId="0" applyFont="1" applyBorder="1" applyAlignment="1" applyProtection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0" fontId="27" fillId="0" borderId="31" xfId="0" applyFont="1" applyBorder="1" applyAlignment="1" applyProtection="1">
      <alignment horizontal="center" vertical="center" wrapText="1"/>
    </xf>
    <xf numFmtId="43" fontId="27" fillId="0" borderId="31" xfId="30" applyFont="1" applyBorder="1" applyAlignment="1" applyProtection="1">
      <alignment horizontal="center" vertical="center" wrapText="1"/>
    </xf>
    <xf numFmtId="43" fontId="9" fillId="0" borderId="31" xfId="30" applyFont="1" applyBorder="1" applyAlignment="1" applyProtection="1">
      <alignment horizontal="center" vertical="center" wrapText="1"/>
    </xf>
    <xf numFmtId="43" fontId="9" fillId="0" borderId="32" xfId="30" applyFont="1" applyBorder="1" applyAlignment="1" applyProtection="1">
      <alignment horizontal="center" vertical="center" wrapText="1"/>
    </xf>
    <xf numFmtId="9" fontId="9" fillId="0" borderId="32" xfId="50" applyFont="1" applyBorder="1" applyAlignment="1" applyProtection="1">
      <alignment horizontal="center" vertical="center" wrapText="1"/>
    </xf>
    <xf numFmtId="43" fontId="9" fillId="0" borderId="33" xfId="30" applyFont="1" applyBorder="1" applyAlignment="1" applyProtection="1">
      <alignment horizontal="center" vertical="center" wrapText="1"/>
    </xf>
    <xf numFmtId="0" fontId="27" fillId="0" borderId="34" xfId="0" applyFont="1" applyBorder="1" applyProtection="1"/>
    <xf numFmtId="0" fontId="27" fillId="0" borderId="0" xfId="0" applyFont="1" applyBorder="1" applyAlignment="1" applyProtection="1">
      <alignment wrapText="1"/>
    </xf>
    <xf numFmtId="43" fontId="27" fillId="0" borderId="0" xfId="30" applyFont="1" applyBorder="1" applyProtection="1"/>
    <xf numFmtId="43" fontId="27" fillId="0" borderId="23" xfId="30" applyFont="1" applyBorder="1" applyProtection="1"/>
    <xf numFmtId="2" fontId="9" fillId="23" borderId="14" xfId="0" quotePrefix="1" applyNumberFormat="1" applyFont="1" applyFill="1" applyBorder="1" applyAlignment="1" applyProtection="1">
      <alignment horizontal="center" vertical="center"/>
    </xf>
    <xf numFmtId="1" fontId="9" fillId="23" borderId="15" xfId="0" quotePrefix="1" applyNumberFormat="1" applyFont="1" applyFill="1" applyBorder="1" applyAlignment="1" applyProtection="1">
      <alignment horizontal="center" vertical="center"/>
    </xf>
    <xf numFmtId="4" fontId="9" fillId="23" borderId="16" xfId="0" applyNumberFormat="1" applyFont="1" applyFill="1" applyBorder="1" applyAlignment="1" applyProtection="1">
      <alignment horizontal="left" vertical="center" wrapText="1"/>
    </xf>
    <xf numFmtId="43" fontId="27" fillId="23" borderId="16" xfId="30" applyFont="1" applyFill="1" applyBorder="1" applyAlignment="1" applyProtection="1">
      <alignment wrapText="1"/>
    </xf>
    <xf numFmtId="43" fontId="9" fillId="23" borderId="16" xfId="30" applyFont="1" applyFill="1" applyBorder="1" applyAlignment="1" applyProtection="1">
      <alignment wrapText="1"/>
    </xf>
    <xf numFmtId="43" fontId="9" fillId="23" borderId="17" xfId="30" applyFont="1" applyFill="1" applyBorder="1" applyAlignment="1" applyProtection="1">
      <alignment wrapText="1"/>
    </xf>
    <xf numFmtId="0" fontId="9" fillId="0" borderId="0" xfId="0" applyFont="1" applyBorder="1" applyAlignment="1">
      <alignment wrapText="1"/>
    </xf>
    <xf numFmtId="4" fontId="27" fillId="0" borderId="15" xfId="0" applyNumberFormat="1" applyFont="1" applyBorder="1" applyAlignment="1" applyProtection="1">
      <alignment horizontal="center" vertical="center"/>
    </xf>
    <xf numFmtId="4" fontId="27" fillId="0" borderId="16" xfId="0" applyNumberFormat="1" applyFont="1" applyBorder="1" applyAlignment="1" applyProtection="1">
      <alignment horizontal="left" vertical="center" wrapText="1"/>
    </xf>
    <xf numFmtId="4" fontId="27" fillId="0" borderId="16" xfId="0" applyNumberFormat="1" applyFont="1" applyBorder="1" applyAlignment="1" applyProtection="1">
      <alignment horizontal="center" vertical="center"/>
    </xf>
    <xf numFmtId="166" fontId="27" fillId="0" borderId="16" xfId="28" applyFont="1" applyFill="1" applyBorder="1" applyAlignment="1" applyProtection="1">
      <alignment horizontal="right" vertical="center"/>
    </xf>
    <xf numFmtId="43" fontId="27" fillId="0" borderId="16" xfId="30" applyFont="1" applyBorder="1" applyAlignment="1" applyProtection="1">
      <alignment wrapText="1"/>
    </xf>
    <xf numFmtId="43" fontId="27" fillId="0" borderId="17" xfId="30" applyFont="1" applyBorder="1" applyAlignment="1" applyProtection="1">
      <alignment wrapText="1"/>
    </xf>
    <xf numFmtId="2" fontId="27" fillId="0" borderId="14" xfId="0" quotePrefix="1" applyNumberFormat="1" applyFont="1" applyBorder="1" applyAlignment="1" applyProtection="1">
      <alignment horizontal="center" vertical="center"/>
    </xf>
    <xf numFmtId="2" fontId="27" fillId="0" borderId="34" xfId="0" quotePrefix="1" applyNumberFormat="1" applyFont="1" applyBorder="1" applyAlignment="1" applyProtection="1">
      <alignment horizontal="center" vertical="center"/>
    </xf>
    <xf numFmtId="4" fontId="27" fillId="0" borderId="0" xfId="0" applyNumberFormat="1" applyFont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 wrapText="1"/>
    </xf>
    <xf numFmtId="166" fontId="27" fillId="0" borderId="0" xfId="28" applyNumberFormat="1" applyFont="1" applyFill="1" applyBorder="1" applyAlignment="1" applyProtection="1">
      <alignment horizontal="right" vertical="center"/>
    </xf>
    <xf numFmtId="43" fontId="27" fillId="0" borderId="0" xfId="30" applyFont="1" applyBorder="1" applyAlignment="1" applyProtection="1">
      <alignment wrapText="1"/>
    </xf>
    <xf numFmtId="43" fontId="27" fillId="0" borderId="35" xfId="30" applyFont="1" applyBorder="1" applyAlignment="1" applyProtection="1">
      <alignment wrapText="1"/>
    </xf>
    <xf numFmtId="43" fontId="27" fillId="0" borderId="36" xfId="30" applyFont="1" applyBorder="1" applyAlignment="1" applyProtection="1">
      <alignment wrapText="1"/>
    </xf>
    <xf numFmtId="43" fontId="27" fillId="0" borderId="37" xfId="30" applyFont="1" applyBorder="1" applyAlignment="1" applyProtection="1">
      <alignment wrapText="1"/>
    </xf>
    <xf numFmtId="2" fontId="9" fillId="0" borderId="14" xfId="0" quotePrefix="1" applyNumberFormat="1" applyFont="1" applyFill="1" applyBorder="1" applyAlignment="1" applyProtection="1">
      <alignment horizontal="center" vertic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171" fontId="27" fillId="0" borderId="0" xfId="0" applyNumberFormat="1" applyFont="1" applyBorder="1"/>
    <xf numFmtId="170" fontId="27" fillId="0" borderId="0" xfId="0" applyNumberFormat="1" applyFont="1" applyBorder="1"/>
    <xf numFmtId="0" fontId="32" fillId="0" borderId="0" xfId="0" applyFont="1" applyBorder="1" applyAlignment="1" applyProtection="1">
      <alignment horizontal="center"/>
    </xf>
    <xf numFmtId="2" fontId="33" fillId="0" borderId="0" xfId="0" applyNumberFormat="1" applyFont="1" applyBorder="1"/>
    <xf numFmtId="0" fontId="34" fillId="0" borderId="0" xfId="0" applyFont="1" applyBorder="1"/>
    <xf numFmtId="0" fontId="34" fillId="0" borderId="0" xfId="0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center" wrapText="1"/>
    </xf>
    <xf numFmtId="171" fontId="32" fillId="0" borderId="0" xfId="0" applyNumberFormat="1" applyFont="1" applyBorder="1" applyAlignment="1" applyProtection="1">
      <alignment horizontal="center"/>
    </xf>
    <xf numFmtId="170" fontId="32" fillId="0" borderId="0" xfId="0" applyNumberFormat="1" applyFont="1" applyBorder="1" applyAlignment="1" applyProtection="1">
      <alignment horizont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/>
    </xf>
    <xf numFmtId="0" fontId="25" fillId="0" borderId="0" xfId="0" applyFont="1" applyBorder="1" applyProtection="1"/>
    <xf numFmtId="0" fontId="26" fillId="0" borderId="0" xfId="0" applyFont="1" applyBorder="1" applyAlignment="1" applyProtection="1">
      <alignment horizontal="center" vertical="top" wrapText="1"/>
    </xf>
    <xf numFmtId="43" fontId="9" fillId="23" borderId="15" xfId="30" applyFont="1" applyFill="1" applyBorder="1" applyAlignment="1" applyProtection="1">
      <alignment wrapText="1"/>
    </xf>
    <xf numFmtId="43" fontId="27" fillId="0" borderId="16" xfId="30" applyFont="1" applyFill="1" applyBorder="1" applyAlignment="1" applyProtection="1">
      <alignment wrapText="1"/>
    </xf>
    <xf numFmtId="0" fontId="9" fillId="24" borderId="0" xfId="0" applyFont="1" applyFill="1" applyBorder="1" applyAlignment="1" applyProtection="1">
      <alignment horizontal="center" vertical="center" wrapText="1"/>
      <protection locked="0"/>
    </xf>
    <xf numFmtId="166" fontId="27" fillId="0" borderId="0" xfId="28" applyFont="1" applyBorder="1"/>
    <xf numFmtId="2" fontId="29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 vertical="center"/>
    </xf>
    <xf numFmtId="170" fontId="30" fillId="23" borderId="38" xfId="0" applyNumberFormat="1" applyFont="1" applyFill="1" applyBorder="1" applyAlignment="1" applyProtection="1">
      <alignment horizontal="center"/>
    </xf>
    <xf numFmtId="167" fontId="30" fillId="23" borderId="39" xfId="31" applyFont="1" applyFill="1" applyBorder="1" applyAlignment="1" applyProtection="1"/>
    <xf numFmtId="170" fontId="30" fillId="23" borderId="40" xfId="0" applyNumberFormat="1" applyFont="1" applyFill="1" applyBorder="1" applyAlignment="1" applyProtection="1">
      <alignment horizontal="center"/>
    </xf>
    <xf numFmtId="10" fontId="35" fillId="24" borderId="19" xfId="0" applyNumberFormat="1" applyFont="1" applyFill="1" applyBorder="1" applyAlignment="1" applyProtection="1">
      <alignment horizontal="center" wrapText="1"/>
      <protection locked="0"/>
    </xf>
    <xf numFmtId="10" fontId="35" fillId="24" borderId="15" xfId="0" applyNumberFormat="1" applyFont="1" applyFill="1" applyBorder="1" applyAlignment="1" applyProtection="1">
      <alignment horizontal="center" wrapText="1"/>
      <protection locked="0"/>
    </xf>
    <xf numFmtId="10" fontId="36" fillId="24" borderId="19" xfId="0" applyNumberFormat="1" applyFont="1" applyFill="1" applyBorder="1" applyAlignment="1" applyProtection="1">
      <alignment horizontal="center" wrapText="1"/>
      <protection locked="0"/>
    </xf>
    <xf numFmtId="0" fontId="27" fillId="0" borderId="41" xfId="0" applyFont="1" applyBorder="1" applyAlignment="1" applyProtection="1">
      <alignment horizontal="center"/>
    </xf>
    <xf numFmtId="43" fontId="27" fillId="0" borderId="15" xfId="30" applyFont="1" applyBorder="1" applyProtection="1"/>
    <xf numFmtId="166" fontId="28" fillId="0" borderId="0" xfId="28" applyFont="1" applyBorder="1"/>
    <xf numFmtId="170" fontId="30" fillId="23" borderId="42" xfId="0" applyNumberFormat="1" applyFont="1" applyFill="1" applyBorder="1" applyAlignment="1" applyProtection="1">
      <alignment horizontal="center"/>
    </xf>
    <xf numFmtId="170" fontId="30" fillId="23" borderId="21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" fontId="27" fillId="25" borderId="14" xfId="28" applyNumberFormat="1" applyFont="1" applyFill="1" applyBorder="1" applyAlignment="1">
      <alignment horizontal="center"/>
    </xf>
    <xf numFmtId="49" fontId="27" fillId="25" borderId="16" xfId="0" applyNumberFormat="1" applyFont="1" applyFill="1" applyBorder="1" applyAlignment="1" applyProtection="1">
      <alignment vertical="center" wrapText="1"/>
      <protection locked="0"/>
    </xf>
    <xf numFmtId="39" fontId="27" fillId="25" borderId="16" xfId="0" applyNumberFormat="1" applyFont="1" applyFill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6" xfId="0" applyFont="1" applyBorder="1" applyAlignment="1" applyProtection="1">
      <alignment horizontal="center" vertical="center" wrapText="1"/>
    </xf>
    <xf numFmtId="43" fontId="27" fillId="0" borderId="16" xfId="30" applyFont="1" applyBorder="1" applyAlignment="1" applyProtection="1">
      <alignment horizontal="center" vertical="center" wrapText="1"/>
    </xf>
    <xf numFmtId="43" fontId="9" fillId="0" borderId="16" xfId="30" applyFont="1" applyBorder="1" applyAlignment="1" applyProtection="1">
      <alignment horizontal="center" vertical="center" wrapText="1"/>
    </xf>
    <xf numFmtId="43" fontId="9" fillId="0" borderId="43" xfId="30" applyFont="1" applyBorder="1" applyAlignment="1" applyProtection="1">
      <alignment horizontal="center" vertical="center" wrapText="1"/>
    </xf>
    <xf numFmtId="9" fontId="9" fillId="0" borderId="43" xfId="50" applyFont="1" applyBorder="1" applyAlignment="1" applyProtection="1">
      <alignment horizontal="center" vertical="center" wrapText="1"/>
    </xf>
    <xf numFmtId="43" fontId="9" fillId="0" borderId="17" xfId="30" applyFont="1" applyBorder="1" applyAlignment="1" applyProtection="1">
      <alignment horizontal="center" vertical="center" wrapText="1"/>
    </xf>
    <xf numFmtId="4" fontId="27" fillId="0" borderId="17" xfId="0" applyNumberFormat="1" applyFont="1" applyBorder="1" applyProtection="1"/>
    <xf numFmtId="49" fontId="27" fillId="23" borderId="16" xfId="0" applyNumberFormat="1" applyFont="1" applyFill="1" applyBorder="1"/>
    <xf numFmtId="49" fontId="9" fillId="23" borderId="16" xfId="0" applyNumberFormat="1" applyFont="1" applyFill="1" applyBorder="1" applyAlignment="1" applyProtection="1">
      <alignment vertical="center"/>
      <protection locked="0"/>
    </xf>
    <xf numFmtId="39" fontId="9" fillId="23" borderId="16" xfId="0" applyNumberFormat="1" applyFont="1" applyFill="1" applyBorder="1" applyAlignment="1" applyProtection="1">
      <alignment horizontal="center"/>
    </xf>
    <xf numFmtId="166" fontId="27" fillId="23" borderId="16" xfId="28" applyFont="1" applyFill="1" applyBorder="1" applyAlignment="1" applyProtection="1">
      <alignment horizontal="right" vertical="center"/>
    </xf>
    <xf numFmtId="49" fontId="27" fillId="25" borderId="16" xfId="0" applyNumberFormat="1" applyFont="1" applyFill="1" applyBorder="1"/>
    <xf numFmtId="0" fontId="27" fillId="0" borderId="14" xfId="0" applyFont="1" applyBorder="1" applyProtection="1"/>
    <xf numFmtId="0" fontId="27" fillId="0" borderId="16" xfId="0" applyFont="1" applyBorder="1" applyProtection="1"/>
    <xf numFmtId="169" fontId="9" fillId="0" borderId="16" xfId="0" quotePrefix="1" applyNumberFormat="1" applyFont="1" applyBorder="1" applyAlignment="1" applyProtection="1">
      <alignment horizontal="right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 applyProtection="1">
      <alignment horizontal="center" wrapText="1"/>
    </xf>
    <xf numFmtId="0" fontId="27" fillId="0" borderId="0" xfId="0" applyFont="1" applyBorder="1" applyAlignment="1">
      <alignment wrapText="1"/>
    </xf>
    <xf numFmtId="4" fontId="30" fillId="23" borderId="14" xfId="0" applyNumberFormat="1" applyFont="1" applyFill="1" applyBorder="1" applyAlignment="1" applyProtection="1">
      <alignment horizontal="right"/>
    </xf>
    <xf numFmtId="4" fontId="30" fillId="23" borderId="16" xfId="0" applyNumberFormat="1" applyFont="1" applyFill="1" applyBorder="1" applyAlignment="1" applyProtection="1">
      <alignment horizontal="right"/>
    </xf>
    <xf numFmtId="0" fontId="27" fillId="0" borderId="0" xfId="0" applyFont="1" applyBorder="1" applyAlignment="1">
      <alignment wrapText="1"/>
    </xf>
    <xf numFmtId="4" fontId="30" fillId="23" borderId="11" xfId="0" applyNumberFormat="1" applyFont="1" applyFill="1" applyBorder="1" applyAlignment="1" applyProtection="1">
      <alignment horizontal="right"/>
    </xf>
    <xf numFmtId="4" fontId="30" fillId="23" borderId="10" xfId="0" applyNumberFormat="1" applyFont="1" applyFill="1" applyBorder="1" applyAlignment="1" applyProtection="1">
      <alignment horizontal="right"/>
    </xf>
    <xf numFmtId="0" fontId="27" fillId="0" borderId="0" xfId="0" applyFont="1" applyBorder="1" applyAlignment="1">
      <alignment wrapText="1"/>
    </xf>
    <xf numFmtId="39" fontId="27" fillId="25" borderId="15" xfId="0" applyNumberFormat="1" applyFont="1" applyFill="1" applyBorder="1" applyAlignment="1" applyProtection="1">
      <alignment horizontal="center"/>
      <protection locked="0"/>
    </xf>
    <xf numFmtId="183" fontId="30" fillId="23" borderId="16" xfId="0" applyNumberFormat="1" applyFont="1" applyFill="1" applyBorder="1" applyAlignment="1" applyProtection="1">
      <alignment horizontal="center"/>
    </xf>
    <xf numFmtId="183" fontId="30" fillId="0" borderId="16" xfId="0" applyNumberFormat="1" applyFont="1" applyFill="1" applyBorder="1" applyAlignment="1" applyProtection="1">
      <alignment horizontal="center"/>
    </xf>
    <xf numFmtId="166" fontId="27" fillId="0" borderId="0" xfId="28" applyFont="1" applyBorder="1" applyAlignment="1">
      <alignment wrapText="1"/>
    </xf>
    <xf numFmtId="0" fontId="53" fillId="0" borderId="0" xfId="0" applyFont="1" applyBorder="1"/>
    <xf numFmtId="2" fontId="53" fillId="0" borderId="0" xfId="0" applyNumberFormat="1" applyFont="1" applyBorder="1"/>
    <xf numFmtId="183" fontId="30" fillId="23" borderId="21" xfId="0" applyNumberFormat="1" applyFont="1" applyFill="1" applyBorder="1" applyAlignment="1" applyProtection="1">
      <alignment horizontal="center"/>
    </xf>
    <xf numFmtId="2" fontId="27" fillId="0" borderId="24" xfId="0" quotePrefix="1" applyNumberFormat="1" applyFont="1" applyFill="1" applyBorder="1" applyAlignment="1" applyProtection="1">
      <alignment horizontal="center" vertical="center"/>
    </xf>
    <xf numFmtId="2" fontId="27" fillId="0" borderId="26" xfId="0" quotePrefix="1" applyNumberFormat="1" applyFont="1" applyFill="1" applyBorder="1" applyAlignment="1" applyProtection="1">
      <alignment horizontal="right"/>
    </xf>
    <xf numFmtId="4" fontId="27" fillId="0" borderId="26" xfId="0" applyNumberFormat="1" applyFont="1" applyFill="1" applyBorder="1" applyAlignment="1" applyProtection="1">
      <alignment wrapText="1"/>
    </xf>
    <xf numFmtId="0" fontId="27" fillId="0" borderId="26" xfId="0" applyFont="1" applyFill="1" applyBorder="1" applyAlignment="1" applyProtection="1">
      <alignment horizontal="center"/>
    </xf>
    <xf numFmtId="10" fontId="35" fillId="0" borderId="26" xfId="0" applyNumberFormat="1" applyFont="1" applyFill="1" applyBorder="1" applyAlignment="1" applyProtection="1">
      <alignment horizontal="center" wrapText="1"/>
      <protection locked="0"/>
    </xf>
    <xf numFmtId="171" fontId="27" fillId="0" borderId="26" xfId="0" applyNumberFormat="1" applyFont="1" applyFill="1" applyBorder="1" applyProtection="1"/>
    <xf numFmtId="170" fontId="27" fillId="0" borderId="26" xfId="0" applyNumberFormat="1" applyFont="1" applyFill="1" applyBorder="1" applyProtection="1"/>
    <xf numFmtId="171" fontId="27" fillId="0" borderId="28" xfId="0" applyNumberFormat="1" applyFont="1" applyFill="1" applyBorder="1" applyProtection="1"/>
    <xf numFmtId="4" fontId="30" fillId="23" borderId="59" xfId="0" applyNumberFormat="1" applyFont="1" applyFill="1" applyBorder="1" applyAlignment="1" applyProtection="1">
      <alignment horizontal="right"/>
    </xf>
    <xf numFmtId="4" fontId="30" fillId="23" borderId="20" xfId="0" applyNumberFormat="1" applyFont="1" applyFill="1" applyBorder="1" applyAlignment="1" applyProtection="1">
      <alignment horizontal="right"/>
    </xf>
    <xf numFmtId="170" fontId="30" fillId="23" borderId="20" xfId="0" applyNumberFormat="1" applyFont="1" applyFill="1" applyBorder="1" applyAlignment="1" applyProtection="1">
      <alignment horizontal="center"/>
    </xf>
    <xf numFmtId="0" fontId="27" fillId="0" borderId="0" xfId="0" applyFont="1" applyBorder="1" applyAlignment="1">
      <alignment wrapText="1"/>
    </xf>
    <xf numFmtId="170" fontId="30" fillId="23" borderId="16" xfId="0" applyNumberFormat="1" applyFont="1" applyFill="1" applyBorder="1" applyAlignment="1" applyProtection="1">
      <alignment horizontal="center"/>
    </xf>
    <xf numFmtId="170" fontId="30" fillId="23" borderId="43" xfId="0" applyNumberFormat="1" applyFont="1" applyFill="1" applyBorder="1" applyAlignment="1" applyProtection="1">
      <alignment horizontal="center"/>
    </xf>
    <xf numFmtId="4" fontId="27" fillId="25" borderId="24" xfId="28" applyNumberFormat="1" applyFont="1" applyFill="1" applyBorder="1" applyAlignment="1">
      <alignment horizontal="center"/>
    </xf>
    <xf numFmtId="49" fontId="27" fillId="25" borderId="26" xfId="0" applyNumberFormat="1" applyFont="1" applyFill="1" applyBorder="1"/>
    <xf numFmtId="49" fontId="27" fillId="25" borderId="26" xfId="0" applyNumberFormat="1" applyFont="1" applyFill="1" applyBorder="1" applyAlignment="1" applyProtection="1">
      <alignment vertical="center" wrapText="1"/>
      <protection locked="0"/>
    </xf>
    <xf numFmtId="166" fontId="27" fillId="0" borderId="26" xfId="28" applyFont="1" applyFill="1" applyBorder="1" applyAlignment="1" applyProtection="1">
      <alignment horizontal="right" vertical="center"/>
    </xf>
    <xf numFmtId="43" fontId="27" fillId="0" borderId="26" xfId="30" applyFont="1" applyBorder="1" applyAlignment="1" applyProtection="1">
      <alignment wrapText="1"/>
    </xf>
    <xf numFmtId="43" fontId="27" fillId="0" borderId="28" xfId="30" applyFont="1" applyBorder="1" applyAlignment="1" applyProtection="1">
      <alignment wrapText="1"/>
    </xf>
    <xf numFmtId="43" fontId="27" fillId="43" borderId="10" xfId="30" applyFont="1" applyFill="1" applyBorder="1" applyAlignment="1" applyProtection="1">
      <alignment wrapText="1"/>
    </xf>
    <xf numFmtId="0" fontId="9" fillId="43" borderId="0" xfId="0" applyFont="1" applyFill="1" applyBorder="1" applyAlignment="1">
      <alignment wrapText="1"/>
    </xf>
    <xf numFmtId="4" fontId="27" fillId="44" borderId="14" xfId="28" applyNumberFormat="1" applyFont="1" applyFill="1" applyBorder="1" applyAlignment="1">
      <alignment horizontal="center"/>
    </xf>
    <xf numFmtId="49" fontId="27" fillId="44" borderId="16" xfId="0" applyNumberFormat="1" applyFont="1" applyFill="1" applyBorder="1"/>
    <xf numFmtId="49" fontId="27" fillId="44" borderId="16" xfId="0" applyNumberFormat="1" applyFont="1" applyFill="1" applyBorder="1" applyAlignment="1" applyProtection="1">
      <alignment vertical="center" wrapText="1"/>
      <protection locked="0"/>
    </xf>
    <xf numFmtId="39" fontId="27" fillId="44" borderId="16" xfId="0" applyNumberFormat="1" applyFont="1" applyFill="1" applyBorder="1" applyAlignment="1" applyProtection="1">
      <alignment horizontal="center"/>
      <protection locked="0"/>
    </xf>
    <xf numFmtId="166" fontId="27" fillId="44" borderId="16" xfId="28" applyFont="1" applyFill="1" applyBorder="1" applyAlignment="1" applyProtection="1">
      <alignment horizontal="right" vertical="center"/>
    </xf>
    <xf numFmtId="43" fontId="27" fillId="44" borderId="16" xfId="30" applyFont="1" applyFill="1" applyBorder="1" applyAlignment="1" applyProtection="1">
      <alignment wrapText="1"/>
    </xf>
    <xf numFmtId="43" fontId="27" fillId="44" borderId="17" xfId="30" applyFont="1" applyFill="1" applyBorder="1" applyAlignment="1" applyProtection="1">
      <alignment wrapText="1"/>
    </xf>
    <xf numFmtId="10" fontId="36" fillId="44" borderId="16" xfId="0" applyNumberFormat="1" applyFont="1" applyFill="1" applyBorder="1" applyAlignment="1" applyProtection="1">
      <alignment horizontal="center" wrapText="1"/>
      <protection locked="0"/>
    </xf>
    <xf numFmtId="0" fontId="27" fillId="0" borderId="16" xfId="30" applyNumberFormat="1" applyFont="1" applyFill="1" applyBorder="1" applyAlignment="1" applyProtection="1">
      <alignment wrapText="1"/>
    </xf>
    <xf numFmtId="184" fontId="30" fillId="23" borderId="33" xfId="0" applyNumberFormat="1" applyFont="1" applyFill="1" applyBorder="1" applyAlignment="1" applyProtection="1">
      <alignment horizontal="center"/>
    </xf>
    <xf numFmtId="185" fontId="31" fillId="23" borderId="21" xfId="0" applyNumberFormat="1" applyFont="1" applyFill="1" applyBorder="1" applyAlignment="1" applyProtection="1">
      <alignment horizontal="center"/>
    </xf>
    <xf numFmtId="0" fontId="27" fillId="0" borderId="0" xfId="0" applyFont="1" applyBorder="1" applyAlignment="1">
      <alignment wrapText="1"/>
    </xf>
    <xf numFmtId="39" fontId="27" fillId="25" borderId="26" xfId="0" applyNumberFormat="1" applyFont="1" applyFill="1" applyBorder="1" applyAlignment="1" applyProtection="1">
      <alignment horizontal="center"/>
      <protection locked="0"/>
    </xf>
    <xf numFmtId="43" fontId="27" fillId="0" borderId="0" xfId="30" applyFont="1" applyFill="1" applyBorder="1" applyAlignment="1" applyProtection="1">
      <alignment wrapText="1"/>
    </xf>
    <xf numFmtId="4" fontId="27" fillId="0" borderId="26" xfId="30" applyNumberFormat="1" applyFont="1" applyFill="1" applyBorder="1" applyAlignment="1" applyProtection="1">
      <alignment wrapText="1"/>
    </xf>
    <xf numFmtId="4" fontId="27" fillId="0" borderId="16" xfId="30" applyNumberFormat="1" applyFont="1" applyFill="1" applyBorder="1" applyAlignment="1" applyProtection="1">
      <alignment wrapText="1"/>
    </xf>
    <xf numFmtId="4" fontId="27" fillId="44" borderId="16" xfId="30" applyNumberFormat="1" applyFont="1" applyFill="1" applyBorder="1" applyAlignment="1" applyProtection="1">
      <alignment wrapText="1"/>
    </xf>
    <xf numFmtId="4" fontId="27" fillId="0" borderId="26" xfId="30" applyNumberFormat="1" applyFont="1" applyFill="1" applyBorder="1" applyAlignment="1" applyProtection="1">
      <alignment horizontal="right" wrapText="1"/>
    </xf>
    <xf numFmtId="43" fontId="27" fillId="43" borderId="45" xfId="30" applyFont="1" applyFill="1" applyBorder="1" applyAlignment="1" applyProtection="1">
      <alignment wrapText="1"/>
    </xf>
    <xf numFmtId="184" fontId="30" fillId="23" borderId="40" xfId="0" applyNumberFormat="1" applyFont="1" applyFill="1" applyBorder="1" applyAlignment="1" applyProtection="1">
      <alignment horizontal="center"/>
    </xf>
    <xf numFmtId="49" fontId="27" fillId="44" borderId="26" xfId="0" applyNumberFormat="1" applyFont="1" applyFill="1" applyBorder="1" applyAlignment="1" applyProtection="1">
      <alignment vertical="center" wrapText="1"/>
      <protection locked="0"/>
    </xf>
    <xf numFmtId="0" fontId="54" fillId="0" borderId="0" xfId="0" applyFont="1" applyAlignment="1">
      <alignment vertical="center"/>
    </xf>
    <xf numFmtId="0" fontId="36" fillId="0" borderId="0" xfId="0" applyFont="1" applyBorder="1" applyAlignment="1">
      <alignment wrapText="1"/>
    </xf>
    <xf numFmtId="0" fontId="55" fillId="0" borderId="0" xfId="0" applyFont="1" applyAlignment="1">
      <alignment vertical="center"/>
    </xf>
    <xf numFmtId="0" fontId="27" fillId="44" borderId="0" xfId="0" applyFont="1" applyFill="1" applyBorder="1" applyAlignment="1">
      <alignment wrapText="1"/>
    </xf>
    <xf numFmtId="0" fontId="9" fillId="44" borderId="0" xfId="0" applyFont="1" applyFill="1" applyBorder="1" applyAlignment="1">
      <alignment wrapText="1"/>
    </xf>
    <xf numFmtId="0" fontId="27" fillId="44" borderId="0" xfId="0" applyFont="1" applyFill="1" applyBorder="1"/>
    <xf numFmtId="43" fontId="27" fillId="0" borderId="26" xfId="30" applyFont="1" applyFill="1" applyBorder="1" applyAlignment="1" applyProtection="1">
      <alignment wrapText="1"/>
    </xf>
    <xf numFmtId="4" fontId="27" fillId="0" borderId="16" xfId="30" applyNumberFormat="1" applyFont="1" applyBorder="1" applyAlignment="1" applyProtection="1">
      <alignment wrapText="1"/>
    </xf>
    <xf numFmtId="4" fontId="27" fillId="0" borderId="36" xfId="30" applyNumberFormat="1" applyFont="1" applyFill="1" applyBorder="1" applyAlignment="1" applyProtection="1">
      <alignment wrapText="1"/>
    </xf>
    <xf numFmtId="4" fontId="27" fillId="0" borderId="26" xfId="30" applyNumberFormat="1" applyFont="1" applyBorder="1" applyAlignment="1" applyProtection="1">
      <alignment wrapText="1"/>
    </xf>
    <xf numFmtId="0" fontId="32" fillId="0" borderId="0" xfId="0" applyFont="1" applyBorder="1" applyAlignment="1" applyProtection="1">
      <alignment horizontal="center"/>
    </xf>
    <xf numFmtId="43" fontId="9" fillId="0" borderId="47" xfId="30" applyFont="1" applyBorder="1" applyAlignment="1" applyProtection="1">
      <alignment horizontal="center" vertical="center" wrapText="1"/>
    </xf>
    <xf numFmtId="43" fontId="9" fillId="0" borderId="48" xfId="30" applyFont="1" applyBorder="1" applyAlignment="1" applyProtection="1">
      <alignment horizontal="center" vertical="center" wrapText="1"/>
    </xf>
    <xf numFmtId="43" fontId="9" fillId="0" borderId="49" xfId="30" applyFont="1" applyBorder="1" applyAlignment="1" applyProtection="1">
      <alignment horizontal="center" vertical="center" wrapText="1"/>
    </xf>
    <xf numFmtId="43" fontId="9" fillId="0" borderId="50" xfId="30" applyFont="1" applyBorder="1" applyAlignment="1" applyProtection="1">
      <alignment horizontal="center" vertical="center" wrapText="1"/>
    </xf>
    <xf numFmtId="43" fontId="9" fillId="0" borderId="51" xfId="30" applyFont="1" applyBorder="1" applyAlignment="1" applyProtection="1">
      <alignment horizontal="center" vertical="center" wrapText="1"/>
    </xf>
    <xf numFmtId="43" fontId="9" fillId="0" borderId="52" xfId="30" applyFont="1" applyBorder="1" applyAlignment="1" applyProtection="1">
      <alignment horizontal="center" vertical="center" wrapText="1"/>
    </xf>
    <xf numFmtId="40" fontId="9" fillId="0" borderId="47" xfId="0" applyNumberFormat="1" applyFont="1" applyFill="1" applyBorder="1" applyAlignment="1" applyProtection="1">
      <alignment horizontal="center" vertical="center" wrapText="1"/>
    </xf>
    <xf numFmtId="40" fontId="9" fillId="0" borderId="48" xfId="0" applyNumberFormat="1" applyFont="1" applyFill="1" applyBorder="1" applyAlignment="1" applyProtection="1">
      <alignment horizontal="center" vertical="center" wrapText="1"/>
    </xf>
    <xf numFmtId="0" fontId="32" fillId="23" borderId="53" xfId="0" applyFont="1" applyFill="1" applyBorder="1" applyAlignment="1" applyProtection="1">
      <alignment horizontal="center" vertical="center" wrapText="1"/>
    </xf>
    <xf numFmtId="0" fontId="32" fillId="23" borderId="54" xfId="0" applyFont="1" applyFill="1" applyBorder="1" applyAlignment="1" applyProtection="1">
      <alignment horizontal="center" vertical="center" wrapText="1"/>
    </xf>
    <xf numFmtId="0" fontId="32" fillId="23" borderId="55" xfId="0" applyFont="1" applyFill="1" applyBorder="1" applyAlignment="1" applyProtection="1">
      <alignment horizontal="center" vertical="center" wrapText="1"/>
    </xf>
    <xf numFmtId="0" fontId="32" fillId="23" borderId="44" xfId="0" applyFont="1" applyFill="1" applyBorder="1" applyAlignment="1" applyProtection="1">
      <alignment horizontal="center" vertical="center" wrapText="1"/>
    </xf>
    <xf numFmtId="0" fontId="32" fillId="23" borderId="45" xfId="0" applyFont="1" applyFill="1" applyBorder="1" applyAlignment="1" applyProtection="1">
      <alignment horizontal="center" vertical="center" wrapText="1"/>
    </xf>
    <xf numFmtId="0" fontId="32" fillId="23" borderId="46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171" fontId="25" fillId="0" borderId="0" xfId="0" applyNumberFormat="1" applyFont="1" applyBorder="1" applyAlignment="1" applyProtection="1">
      <alignment horizontal="center"/>
      <protection locked="0"/>
    </xf>
    <xf numFmtId="177" fontId="26" fillId="0" borderId="0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wrapText="1"/>
    </xf>
    <xf numFmtId="0" fontId="27" fillId="0" borderId="0" xfId="0" applyFont="1" applyBorder="1" applyAlignment="1">
      <alignment wrapText="1"/>
    </xf>
    <xf numFmtId="0" fontId="0" fillId="0" borderId="0" xfId="0" applyAlignment="1">
      <alignment wrapText="1"/>
    </xf>
    <xf numFmtId="4" fontId="30" fillId="23" borderId="11" xfId="0" applyNumberFormat="1" applyFont="1" applyFill="1" applyBorder="1" applyAlignment="1" applyProtection="1">
      <alignment horizontal="right"/>
    </xf>
    <xf numFmtId="4" fontId="30" fillId="23" borderId="10" xfId="0" applyNumberFormat="1" applyFont="1" applyFill="1" applyBorder="1" applyAlignment="1" applyProtection="1">
      <alignment horizontal="right"/>
    </xf>
    <xf numFmtId="4" fontId="30" fillId="23" borderId="12" xfId="0" applyNumberFormat="1" applyFont="1" applyFill="1" applyBorder="1" applyAlignment="1" applyProtection="1">
      <alignment horizontal="right"/>
    </xf>
    <xf numFmtId="4" fontId="30" fillId="23" borderId="44" xfId="0" applyNumberFormat="1" applyFont="1" applyFill="1" applyBorder="1" applyAlignment="1" applyProtection="1">
      <alignment horizontal="right"/>
    </xf>
    <xf numFmtId="4" fontId="30" fillId="23" borderId="45" xfId="0" applyNumberFormat="1" applyFont="1" applyFill="1" applyBorder="1" applyAlignment="1" applyProtection="1">
      <alignment horizontal="right"/>
    </xf>
    <xf numFmtId="4" fontId="30" fillId="23" borderId="46" xfId="0" applyNumberFormat="1" applyFont="1" applyFill="1" applyBorder="1" applyAlignment="1" applyProtection="1">
      <alignment horizontal="right"/>
    </xf>
    <xf numFmtId="4" fontId="30" fillId="23" borderId="29" xfId="0" applyNumberFormat="1" applyFont="1" applyFill="1" applyBorder="1" applyAlignment="1" applyProtection="1">
      <alignment horizontal="right"/>
    </xf>
    <xf numFmtId="4" fontId="30" fillId="23" borderId="31" xfId="0" applyNumberFormat="1" applyFont="1" applyFill="1" applyBorder="1" applyAlignment="1" applyProtection="1">
      <alignment horizontal="right"/>
    </xf>
    <xf numFmtId="4" fontId="30" fillId="23" borderId="39" xfId="0" applyNumberFormat="1" applyFont="1" applyFill="1" applyBorder="1" applyAlignment="1" applyProtection="1">
      <alignment horizontal="right"/>
    </xf>
    <xf numFmtId="4" fontId="9" fillId="23" borderId="11" xfId="0" applyNumberFormat="1" applyFont="1" applyFill="1" applyBorder="1" applyAlignment="1" applyProtection="1">
      <alignment horizontal="right"/>
    </xf>
    <xf numFmtId="4" fontId="9" fillId="23" borderId="10" xfId="0" applyNumberFormat="1" applyFont="1" applyFill="1" applyBorder="1" applyAlignment="1" applyProtection="1">
      <alignment horizontal="right"/>
    </xf>
    <xf numFmtId="4" fontId="9" fillId="23" borderId="12" xfId="0" applyNumberFormat="1" applyFont="1" applyFill="1" applyBorder="1" applyAlignment="1" applyProtection="1">
      <alignment horizontal="right"/>
    </xf>
    <xf numFmtId="172" fontId="5" fillId="0" borderId="45" xfId="29" applyNumberFormat="1" applyFont="1" applyFill="1" applyBorder="1" applyAlignment="1">
      <alignment horizontal="right" vertical="top"/>
    </xf>
    <xf numFmtId="172" fontId="4" fillId="0" borderId="0" xfId="29" applyNumberFormat="1" applyFont="1" applyFill="1" applyAlignment="1">
      <alignment horizontal="right" vertical="top"/>
    </xf>
    <xf numFmtId="164" fontId="5" fillId="0" borderId="45" xfId="29" applyNumberFormat="1" applyFont="1" applyFill="1" applyBorder="1" applyAlignment="1">
      <alignment horizontal="right" vertical="top"/>
    </xf>
    <xf numFmtId="0" fontId="27" fillId="0" borderId="26" xfId="30" applyNumberFormat="1" applyFont="1" applyFill="1" applyBorder="1" applyAlignment="1" applyProtection="1">
      <alignment wrapText="1"/>
    </xf>
  </cellXfs>
  <cellStyles count="168">
    <cellStyle name="20% - Énfasis1" xfId="56"/>
    <cellStyle name="20% - Énfasis2" xfId="57"/>
    <cellStyle name="20% - Énfasis3" xfId="58"/>
    <cellStyle name="20% - Énfasis4" xfId="59"/>
    <cellStyle name="20% - Énfasis5" xfId="60"/>
    <cellStyle name="20% - Énfasis6" xfId="61"/>
    <cellStyle name="40% - Énfasis1" xfId="62"/>
    <cellStyle name="40% - Énfasis2" xfId="63"/>
    <cellStyle name="40% - Énfasis3" xfId="64"/>
    <cellStyle name="40% - Énfasis4" xfId="65"/>
    <cellStyle name="40% - Énfasis5" xfId="66"/>
    <cellStyle name="40% - Énfasis6" xfId="67"/>
    <cellStyle name="60% - Énfasis1" xfId="68"/>
    <cellStyle name="60% - Énfasis2" xfId="69"/>
    <cellStyle name="60% - Énfasis3" xfId="70"/>
    <cellStyle name="60% - Énfasis4" xfId="71"/>
    <cellStyle name="60% - Énfasis5" xfId="72"/>
    <cellStyle name="60% - Énfasis6" xfId="73"/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Buena" xfId="74"/>
    <cellStyle name="Calculation" xfId="26" builtinId="22" customBuiltin="1"/>
    <cellStyle name="Cálculo" xfId="75"/>
    <cellStyle name="Celda de comprobación" xfId="76"/>
    <cellStyle name="Celda vinculada" xfId="77"/>
    <cellStyle name="Check Cell" xfId="27" builtinId="23" customBuiltin="1"/>
    <cellStyle name="Comma" xfId="28" builtinId="3"/>
    <cellStyle name="Comma 2" xfId="55"/>
    <cellStyle name="Comma 2 2" xfId="78"/>
    <cellStyle name="Comma 3" xfId="79"/>
    <cellStyle name="Comma 3 2" xfId="80"/>
    <cellStyle name="Comma 4" xfId="81"/>
    <cellStyle name="Comma 4 2" xfId="82"/>
    <cellStyle name="Comma 5" xfId="83"/>
    <cellStyle name="Comma_Presupuesto Base (Alfa 2000, S.A.) - Análisis de Costos" xfId="29"/>
    <cellStyle name="Comma_tablas evaluacion economicas 180-181(1)2" xfId="30"/>
    <cellStyle name="Currency" xfId="31" builtinId="4"/>
    <cellStyle name="Currency 2" xfId="84"/>
    <cellStyle name="Currency 2 2" xfId="85"/>
    <cellStyle name="Currency 3" xfId="86"/>
    <cellStyle name="Currency 4" xfId="87"/>
    <cellStyle name="Currency_Presupuesto Base (Alfa 2000, S.A.) - Análisis de Costos" xfId="32"/>
    <cellStyle name="Emphasis 1" xfId="33"/>
    <cellStyle name="Emphasis 2" xfId="34"/>
    <cellStyle name="Emphasis 3" xfId="35"/>
    <cellStyle name="Encabezado 4" xfId="88"/>
    <cellStyle name="Énfasis1" xfId="89"/>
    <cellStyle name="Énfasis2" xfId="90"/>
    <cellStyle name="Énfasis3" xfId="91"/>
    <cellStyle name="Énfasis4" xfId="92"/>
    <cellStyle name="Énfasis5" xfId="93"/>
    <cellStyle name="Énfasis6" xfId="94"/>
    <cellStyle name="Entrada" xfId="95"/>
    <cellStyle name="Euro" xfId="36"/>
    <cellStyle name="Euro 10" xfId="96"/>
    <cellStyle name="Euro 11" xfId="97"/>
    <cellStyle name="Euro 12" xfId="98"/>
    <cellStyle name="Euro 13" xfId="99"/>
    <cellStyle name="Euro 2" xfId="100"/>
    <cellStyle name="Euro 3" xfId="101"/>
    <cellStyle name="Euro 4" xfId="102"/>
    <cellStyle name="Euro 5" xfId="103"/>
    <cellStyle name="Euro 6" xfId="104"/>
    <cellStyle name="Euro 7" xfId="105"/>
    <cellStyle name="Euro 8" xfId="106"/>
    <cellStyle name="Euro 9" xfId="107"/>
    <cellStyle name="F2" xfId="108"/>
    <cellStyle name="F3" xfId="109"/>
    <cellStyle name="F4" xfId="110"/>
    <cellStyle name="F5" xfId="111"/>
    <cellStyle name="F6" xfId="112"/>
    <cellStyle name="F7" xfId="113"/>
    <cellStyle name="F8" xfId="114"/>
    <cellStyle name="Fixed" xfId="115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Incorrecto" xfId="116"/>
    <cellStyle name="Input" xfId="42" builtinId="20" customBuiltin="1"/>
    <cellStyle name="Linked Cell" xfId="43" builtinId="24" customBuiltin="1"/>
    <cellStyle name="Millares [0]_analisis puerta" xfId="117"/>
    <cellStyle name="Millares 2" xfId="118"/>
    <cellStyle name="Millares 2 2" xfId="119"/>
    <cellStyle name="Millares 3" xfId="120"/>
    <cellStyle name="Millares 4" xfId="121"/>
    <cellStyle name="Millares 5" xfId="122"/>
    <cellStyle name="Millares_ANALISIS  ACUEDUCTO LA CUEVA DE CEVICOS 2" xfId="123"/>
    <cellStyle name="Moneda 2" xfId="124"/>
    <cellStyle name="Moneda 3" xfId="125"/>
    <cellStyle name="Moneda 4" xfId="126"/>
    <cellStyle name="Neutral" xfId="44" builtinId="28" customBuiltin="1"/>
    <cellStyle name="No-definido" xfId="127"/>
    <cellStyle name="Normal" xfId="0" builtinId="0"/>
    <cellStyle name="Normal - Style1" xfId="128"/>
    <cellStyle name="Normal 10" xfId="129"/>
    <cellStyle name="Normal 12" xfId="130"/>
    <cellStyle name="Normal 13" xfId="131"/>
    <cellStyle name="Normal 14" xfId="132"/>
    <cellStyle name="Normal 2" xfId="45"/>
    <cellStyle name="Normal 2 2" xfId="133"/>
    <cellStyle name="Normal 2 3" xfId="46"/>
    <cellStyle name="Normal 2 3 2" xfId="134"/>
    <cellStyle name="Normal 2_PRESUPUESTO BASE 20#1295" xfId="135"/>
    <cellStyle name="Normal 3" xfId="136"/>
    <cellStyle name="Normal 4" xfId="137"/>
    <cellStyle name="Normal 5" xfId="138"/>
    <cellStyle name="Normal 5 2" xfId="139"/>
    <cellStyle name="Normal 6" xfId="140"/>
    <cellStyle name="Normal 7" xfId="141"/>
    <cellStyle name="Normal 7 2" xfId="142"/>
    <cellStyle name="Normal 8" xfId="54"/>
    <cellStyle name="Normal,80 pts rojo, Texto chispeante" xfId="143"/>
    <cellStyle name="Normal_Presupuesto Base (Alfa 2000, S.A.) - Análisis de Costos" xfId="47"/>
    <cellStyle name="Notas" xfId="144"/>
    <cellStyle name="Note" xfId="48" builtinId="10" customBuiltin="1"/>
    <cellStyle name="Output" xfId="49" builtinId="21" customBuiltin="1"/>
    <cellStyle name="Percent" xfId="50" builtinId="5"/>
    <cellStyle name="Percent 2" xfId="145"/>
    <cellStyle name="Percent 2 2" xfId="146"/>
    <cellStyle name="Porcentual 2" xfId="147"/>
    <cellStyle name="Price Line" xfId="148"/>
    <cellStyle name="S0" xfId="149"/>
    <cellStyle name="S1" xfId="150"/>
    <cellStyle name="S10" xfId="151"/>
    <cellStyle name="S2" xfId="152"/>
    <cellStyle name="S3" xfId="153"/>
    <cellStyle name="S4" xfId="154"/>
    <cellStyle name="S5" xfId="155"/>
    <cellStyle name="S6" xfId="156"/>
    <cellStyle name="S7" xfId="157"/>
    <cellStyle name="S8" xfId="158"/>
    <cellStyle name="S9" xfId="159"/>
    <cellStyle name="Salida" xfId="160"/>
    <cellStyle name="Sheet Title" xfId="51"/>
    <cellStyle name="Texto de advertencia" xfId="161"/>
    <cellStyle name="Texto explicativo" xfId="162"/>
    <cellStyle name="Title 4" xfId="163"/>
    <cellStyle name="Título" xfId="164"/>
    <cellStyle name="Título 1" xfId="165"/>
    <cellStyle name="Título 2" xfId="166"/>
    <cellStyle name="Título 3" xfId="167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1432560</xdr:colOff>
      <xdr:row>0</xdr:row>
      <xdr:rowOff>0</xdr:rowOff>
    </xdr:from>
    <xdr:to>
      <xdr:col>2</xdr:col>
      <xdr:colOff>3002280</xdr:colOff>
      <xdr:row>0</xdr:row>
      <xdr:rowOff>0</xdr:rowOff>
    </xdr:to>
    <xdr:sp macro="" textlink="">
      <xdr:nvSpPr>
        <xdr:cNvPr id="15852" name="Line 1"/>
        <xdr:cNvSpPr>
          <a:spLocks noChangeShapeType="1"/>
        </xdr:cNvSpPr>
      </xdr:nvSpPr>
      <xdr:spPr bwMode="auto">
        <a:xfrm>
          <a:off x="2918460" y="0"/>
          <a:ext cx="1569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480060</xdr:colOff>
      <xdr:row>0</xdr:row>
      <xdr:rowOff>0</xdr:rowOff>
    </xdr:from>
    <xdr:to>
      <xdr:col>2</xdr:col>
      <xdr:colOff>2994660</xdr:colOff>
      <xdr:row>0</xdr:row>
      <xdr:rowOff>0</xdr:rowOff>
    </xdr:to>
    <xdr:sp macro="" textlink="">
      <xdr:nvSpPr>
        <xdr:cNvPr id="15853" name="Line 2"/>
        <xdr:cNvSpPr>
          <a:spLocks noChangeShapeType="1"/>
        </xdr:cNvSpPr>
      </xdr:nvSpPr>
      <xdr:spPr bwMode="auto">
        <a:xfrm>
          <a:off x="1965960" y="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0</xdr:row>
      <xdr:rowOff>0</xdr:rowOff>
    </xdr:from>
    <xdr:to>
      <xdr:col>5</xdr:col>
      <xdr:colOff>716280</xdr:colOff>
      <xdr:row>0</xdr:row>
      <xdr:rowOff>0</xdr:rowOff>
    </xdr:to>
    <xdr:sp macro="" textlink="">
      <xdr:nvSpPr>
        <xdr:cNvPr id="15854" name="Line 3"/>
        <xdr:cNvSpPr>
          <a:spLocks noChangeShapeType="1"/>
        </xdr:cNvSpPr>
      </xdr:nvSpPr>
      <xdr:spPr bwMode="auto">
        <a:xfrm>
          <a:off x="5257800" y="0"/>
          <a:ext cx="2415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822960</xdr:colOff>
      <xdr:row>0</xdr:row>
      <xdr:rowOff>0</xdr:rowOff>
    </xdr:to>
    <xdr:sp macro="" textlink="">
      <xdr:nvSpPr>
        <xdr:cNvPr id="15855" name="Line 4"/>
        <xdr:cNvSpPr>
          <a:spLocks noChangeShapeType="1"/>
        </xdr:cNvSpPr>
      </xdr:nvSpPr>
      <xdr:spPr bwMode="auto">
        <a:xfrm>
          <a:off x="5250180" y="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91440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5856" name="Line 5"/>
        <xdr:cNvSpPr>
          <a:spLocks noChangeShapeType="1"/>
        </xdr:cNvSpPr>
      </xdr:nvSpPr>
      <xdr:spPr bwMode="auto">
        <a:xfrm>
          <a:off x="8046720" y="0"/>
          <a:ext cx="1303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182880</xdr:colOff>
      <xdr:row>8</xdr:row>
      <xdr:rowOff>213360</xdr:rowOff>
    </xdr:from>
    <xdr:to>
      <xdr:col>8</xdr:col>
      <xdr:colOff>68580</xdr:colOff>
      <xdr:row>8</xdr:row>
      <xdr:rowOff>213360</xdr:rowOff>
    </xdr:to>
    <xdr:sp macro="" textlink="">
      <xdr:nvSpPr>
        <xdr:cNvPr id="15857" name="Line 6"/>
        <xdr:cNvSpPr>
          <a:spLocks noChangeShapeType="1"/>
        </xdr:cNvSpPr>
      </xdr:nvSpPr>
      <xdr:spPr bwMode="auto">
        <a:xfrm>
          <a:off x="7139940" y="2423160"/>
          <a:ext cx="2278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182880</xdr:colOff>
      <xdr:row>8</xdr:row>
      <xdr:rowOff>0</xdr:rowOff>
    </xdr:from>
    <xdr:to>
      <xdr:col>8</xdr:col>
      <xdr:colOff>68580</xdr:colOff>
      <xdr:row>8</xdr:row>
      <xdr:rowOff>0</xdr:rowOff>
    </xdr:to>
    <xdr:sp macro="" textlink="">
      <xdr:nvSpPr>
        <xdr:cNvPr id="15858" name="Line 7"/>
        <xdr:cNvSpPr>
          <a:spLocks noChangeShapeType="1"/>
        </xdr:cNvSpPr>
      </xdr:nvSpPr>
      <xdr:spPr bwMode="auto">
        <a:xfrm>
          <a:off x="7139940" y="2209800"/>
          <a:ext cx="2278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8</xdr:row>
      <xdr:rowOff>7620</xdr:rowOff>
    </xdr:from>
    <xdr:to>
      <xdr:col>3</xdr:col>
      <xdr:colOff>0</xdr:colOff>
      <xdr:row>8</xdr:row>
      <xdr:rowOff>7620</xdr:rowOff>
    </xdr:to>
    <xdr:sp macro="" textlink="">
      <xdr:nvSpPr>
        <xdr:cNvPr id="15859" name="Line 8"/>
        <xdr:cNvSpPr>
          <a:spLocks noChangeShapeType="1"/>
        </xdr:cNvSpPr>
      </xdr:nvSpPr>
      <xdr:spPr bwMode="auto">
        <a:xfrm>
          <a:off x="1577340" y="221742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9</xdr:row>
      <xdr:rowOff>15240</xdr:rowOff>
    </xdr:from>
    <xdr:to>
      <xdr:col>3</xdr:col>
      <xdr:colOff>0</xdr:colOff>
      <xdr:row>9</xdr:row>
      <xdr:rowOff>15240</xdr:rowOff>
    </xdr:to>
    <xdr:sp macro="" textlink="">
      <xdr:nvSpPr>
        <xdr:cNvPr id="15860" name="Line 9"/>
        <xdr:cNvSpPr>
          <a:spLocks noChangeShapeType="1"/>
        </xdr:cNvSpPr>
      </xdr:nvSpPr>
      <xdr:spPr bwMode="auto">
        <a:xfrm>
          <a:off x="1577340" y="245364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541020</xdr:colOff>
      <xdr:row>0</xdr:row>
      <xdr:rowOff>0</xdr:rowOff>
    </xdr:from>
    <xdr:to>
      <xdr:col>5</xdr:col>
      <xdr:colOff>861060</xdr:colOff>
      <xdr:row>0</xdr:row>
      <xdr:rowOff>0</xdr:rowOff>
    </xdr:to>
    <xdr:sp macro="" textlink="">
      <xdr:nvSpPr>
        <xdr:cNvPr id="15861" name="Line 10"/>
        <xdr:cNvSpPr>
          <a:spLocks noChangeShapeType="1"/>
        </xdr:cNvSpPr>
      </xdr:nvSpPr>
      <xdr:spPr bwMode="auto">
        <a:xfrm>
          <a:off x="6614160" y="0"/>
          <a:ext cx="1203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8</xdr:row>
      <xdr:rowOff>213360</xdr:rowOff>
    </xdr:from>
    <xdr:to>
      <xdr:col>8</xdr:col>
      <xdr:colOff>68580</xdr:colOff>
      <xdr:row>8</xdr:row>
      <xdr:rowOff>213360</xdr:rowOff>
    </xdr:to>
    <xdr:sp macro="" textlink="">
      <xdr:nvSpPr>
        <xdr:cNvPr id="6037" name="Line 6"/>
        <xdr:cNvSpPr>
          <a:spLocks noChangeShapeType="1"/>
        </xdr:cNvSpPr>
      </xdr:nvSpPr>
      <xdr:spPr bwMode="auto">
        <a:xfrm>
          <a:off x="7246620" y="2674620"/>
          <a:ext cx="3482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122465</xdr:colOff>
      <xdr:row>8</xdr:row>
      <xdr:rowOff>0</xdr:rowOff>
    </xdr:from>
    <xdr:to>
      <xdr:col>5</xdr:col>
      <xdr:colOff>182880</xdr:colOff>
      <xdr:row>8</xdr:row>
      <xdr:rowOff>27214</xdr:rowOff>
    </xdr:to>
    <xdr:sp macro="" textlink="">
      <xdr:nvSpPr>
        <xdr:cNvPr id="6038" name="Line 7"/>
        <xdr:cNvSpPr>
          <a:spLocks noChangeShapeType="1"/>
        </xdr:cNvSpPr>
      </xdr:nvSpPr>
      <xdr:spPr bwMode="auto">
        <a:xfrm flipH="1">
          <a:off x="7007679" y="2449286"/>
          <a:ext cx="60415" cy="272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8</xdr:row>
      <xdr:rowOff>7620</xdr:rowOff>
    </xdr:from>
    <xdr:to>
      <xdr:col>3</xdr:col>
      <xdr:colOff>0</xdr:colOff>
      <xdr:row>8</xdr:row>
      <xdr:rowOff>7620</xdr:rowOff>
    </xdr:to>
    <xdr:sp macro="" textlink="">
      <xdr:nvSpPr>
        <xdr:cNvPr id="6039" name="Line 8"/>
        <xdr:cNvSpPr>
          <a:spLocks noChangeShapeType="1"/>
        </xdr:cNvSpPr>
      </xdr:nvSpPr>
      <xdr:spPr bwMode="auto">
        <a:xfrm>
          <a:off x="1577340" y="246888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9</xdr:row>
      <xdr:rowOff>15240</xdr:rowOff>
    </xdr:from>
    <xdr:to>
      <xdr:col>3</xdr:col>
      <xdr:colOff>0</xdr:colOff>
      <xdr:row>9</xdr:row>
      <xdr:rowOff>15240</xdr:rowOff>
    </xdr:to>
    <xdr:sp macro="" textlink="">
      <xdr:nvSpPr>
        <xdr:cNvPr id="6040" name="Line 9"/>
        <xdr:cNvSpPr>
          <a:spLocks noChangeShapeType="1"/>
        </xdr:cNvSpPr>
      </xdr:nvSpPr>
      <xdr:spPr bwMode="auto">
        <a:xfrm>
          <a:off x="1577340" y="270510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182880</xdr:colOff>
      <xdr:row>8</xdr:row>
      <xdr:rowOff>213360</xdr:rowOff>
    </xdr:from>
    <xdr:to>
      <xdr:col>8</xdr:col>
      <xdr:colOff>68580</xdr:colOff>
      <xdr:row>8</xdr:row>
      <xdr:rowOff>213360</xdr:rowOff>
    </xdr:to>
    <xdr:sp macro="" textlink="">
      <xdr:nvSpPr>
        <xdr:cNvPr id="6041" name="Line 6"/>
        <xdr:cNvSpPr>
          <a:spLocks noChangeShapeType="1"/>
        </xdr:cNvSpPr>
      </xdr:nvSpPr>
      <xdr:spPr bwMode="auto">
        <a:xfrm>
          <a:off x="7246620" y="2674620"/>
          <a:ext cx="3482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8</xdr:row>
      <xdr:rowOff>7620</xdr:rowOff>
    </xdr:from>
    <xdr:to>
      <xdr:col>3</xdr:col>
      <xdr:colOff>0</xdr:colOff>
      <xdr:row>8</xdr:row>
      <xdr:rowOff>7620</xdr:rowOff>
    </xdr:to>
    <xdr:sp macro="" textlink="">
      <xdr:nvSpPr>
        <xdr:cNvPr id="6043" name="Line 8"/>
        <xdr:cNvSpPr>
          <a:spLocks noChangeShapeType="1"/>
        </xdr:cNvSpPr>
      </xdr:nvSpPr>
      <xdr:spPr bwMode="auto">
        <a:xfrm>
          <a:off x="1577340" y="246888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9</xdr:row>
      <xdr:rowOff>15240</xdr:rowOff>
    </xdr:from>
    <xdr:to>
      <xdr:col>3</xdr:col>
      <xdr:colOff>0</xdr:colOff>
      <xdr:row>9</xdr:row>
      <xdr:rowOff>15240</xdr:rowOff>
    </xdr:to>
    <xdr:sp macro="" textlink="">
      <xdr:nvSpPr>
        <xdr:cNvPr id="6044" name="Line 9"/>
        <xdr:cNvSpPr>
          <a:spLocks noChangeShapeType="1"/>
        </xdr:cNvSpPr>
      </xdr:nvSpPr>
      <xdr:spPr bwMode="auto">
        <a:xfrm>
          <a:off x="1577340" y="270510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182880</xdr:colOff>
      <xdr:row>8</xdr:row>
      <xdr:rowOff>0</xdr:rowOff>
    </xdr:from>
    <xdr:to>
      <xdr:col>8</xdr:col>
      <xdr:colOff>68580</xdr:colOff>
      <xdr:row>8</xdr:row>
      <xdr:rowOff>0</xdr:rowOff>
    </xdr:to>
    <xdr:sp macro="" textlink="">
      <xdr:nvSpPr>
        <xdr:cNvPr id="6045" name="Line 7"/>
        <xdr:cNvSpPr>
          <a:spLocks noChangeShapeType="1"/>
        </xdr:cNvSpPr>
      </xdr:nvSpPr>
      <xdr:spPr bwMode="auto">
        <a:xfrm>
          <a:off x="7246620" y="2057400"/>
          <a:ext cx="3482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8</xdr:row>
      <xdr:rowOff>15240</xdr:rowOff>
    </xdr:from>
    <xdr:to>
      <xdr:col>3</xdr:col>
      <xdr:colOff>0</xdr:colOff>
      <xdr:row>8</xdr:row>
      <xdr:rowOff>15240</xdr:rowOff>
    </xdr:to>
    <xdr:sp macro="" textlink="">
      <xdr:nvSpPr>
        <xdr:cNvPr id="6047" name="Line 9"/>
        <xdr:cNvSpPr>
          <a:spLocks noChangeShapeType="1"/>
        </xdr:cNvSpPr>
      </xdr:nvSpPr>
      <xdr:spPr bwMode="auto">
        <a:xfrm>
          <a:off x="1577340" y="2476500"/>
          <a:ext cx="3672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imentel/Desktop/Analisis%20de%20Costos,%20Proyectos%20No.%209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gar%20Montas/Desktop/eamc/erimil/CORTE%20SEA/presupuesto/PRESUPUESTO%20BASE%2029.08.08%20para%20revizar%20volu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gar%20Montas/Desktop/eamc/erimil/analisis%20varios%20amigo%20de%20castor/GRUPO%20JUEVES%20NOV-ENE%2006/1%20JUAN%20MOREL,%20ROSANNA%20RUIZ,%20MELVIN%20V&#193;SQUEZ,%20INDHIRA%20V&#193;SQUEZ/Juan_Salvac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eropuerto%20La%20Romana%20(Propuesta%20ReajustadaRRR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ejia/Desktop/PROPUESTA%20PROYECTO%20%23174%20EDIFICIO%20COUNTER%20080311%20-%20MOD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stor/My%20Documents/Ing.%20Torres%202/PUNTA%20CANA/Edificio%20de%20Counters/Presupuesto%20Definitiv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amilo/Desktop/PROPUESTAS%20LICITANTES%20COUNTERS/FORMATO%20DIGITAL%20PROYECTO%20%23174%20-%20SADIRNI/PROPUESTA%20PROYECTO%20%23174%20EDIFICIO%20COUNTER%200803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nalisis%20P.U%20escuel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ylen/Desktop/2005%2010%20Oct%20Tex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. Tierra"/>
    </sheetNames>
    <sheetDataSet>
      <sheetData sheetId="0">
        <row r="39">
          <cell r="F39">
            <v>92.45</v>
          </cell>
        </row>
        <row r="75">
          <cell r="F75">
            <v>28.994727272727275</v>
          </cell>
        </row>
        <row r="106">
          <cell r="F106">
            <v>22.3411388726695</v>
          </cell>
        </row>
        <row r="141">
          <cell r="F141">
            <v>55.037840044398614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ol mano obra"/>
      <sheetName val="presup area comun"/>
      <sheetName val="PRESUPUESTO apto"/>
      <sheetName val="Resumen 160"/>
      <sheetName val="Resumen 165"/>
      <sheetName val="Resumen 170"/>
      <sheetName val="PRESUPUESTO USD$ ENTREGA"/>
      <sheetName val="PRESUPUESTO USD$"/>
      <sheetName val="vol H.A."/>
      <sheetName val="cocina"/>
      <sheetName val="M.O."/>
      <sheetName val="Precios"/>
      <sheetName val="Relleno de reposicion"/>
      <sheetName val="Remocion capa vegetal"/>
      <sheetName val="Hormigon 1.2.4"/>
      <sheetName val="Hormigon CHAPAPOTE"/>
      <sheetName val="Hormigon 1.3.5"/>
      <sheetName val="Mortero colc. piso"/>
      <sheetName val="Mortero para bloque"/>
      <sheetName val="Mortero para panete"/>
      <sheetName val="Mortero Panete Pulido"/>
      <sheetName val="Zc2  "/>
      <sheetName val="Zc1   "/>
      <sheetName val="zap. muro 45x25 0@25"/>
      <sheetName val="zap. muro 60x25 0@25 "/>
      <sheetName val="Viga VA"/>
      <sheetName val="Viga Amarre con Corniza"/>
      <sheetName val="Viga 0.25 x 0.25"/>
      <sheetName val="Viga V1"/>
      <sheetName val="Dinteles"/>
      <sheetName val="CA 0.20 x 0.20"/>
      <sheetName val="CA 0.15 x 0.20 "/>
      <sheetName val="Col. Redonda"/>
      <sheetName val="H.A. losas"/>
      <sheetName val="H.A. losas e=0.15"/>
      <sheetName val="H.A. losas Inclinadas"/>
      <sheetName val="Losa Escalera"/>
      <sheetName val="H.A. vuelos de 0.40 @ 0.20"/>
      <sheetName val="H.A. Platea Planta"/>
      <sheetName val="H.A. Platea Cisterna"/>
      <sheetName val="Piso Pulido"/>
      <sheetName val="Bordillo 0.2 x 0.25"/>
      <sheetName val="Contenes"/>
      <sheetName val="Aceras"/>
      <sheetName val="Piso Horm. Estampado"/>
      <sheetName val="Block 6&quot; @ 0.20"/>
      <sheetName val="Block 6&quot; @ 0.40"/>
      <sheetName val="Block 6&quot; @ 0.80"/>
      <sheetName val="Block 8&quot; @ 0.20"/>
      <sheetName val="Block 8&quot; @ 0.40"/>
      <sheetName val="Block 8&quot; con Media @ 0.40 "/>
      <sheetName val="Block 8&quot; @ 0.80"/>
      <sheetName val="fraguche"/>
      <sheetName val="NATILLA PARED CEMT. GRIS"/>
      <sheetName val="Pañete techo"/>
      <sheetName val="Pañete int "/>
      <sheetName val="Pañete ext "/>
      <sheetName val="Pañete Pulido"/>
      <sheetName val="Fino Fondo Piscina "/>
      <sheetName val="Mocheta "/>
      <sheetName val="Canto "/>
      <sheetName val="REPELLO"/>
      <sheetName val="Estrias"/>
      <sheetName val="goteros colgantes"/>
      <sheetName val="Coloc piso ceramica"/>
      <sheetName val="Coloc piso marmol"/>
      <sheetName val="Piso Marmol Loco"/>
      <sheetName val="Huella de Marmol Loco"/>
      <sheetName val="Anal. de Huella y Contrahuella"/>
      <sheetName val="Zocalo de Marmol"/>
      <sheetName val="Zocalo de ceramica"/>
      <sheetName val="Revestimiento coralina"/>
      <sheetName val="Revestimiento Ceramica"/>
      <sheetName val="Cenefa"/>
      <sheetName val="Fino Techo Plano"/>
      <sheetName val="Fino Techo Inclinado"/>
      <sheetName val="Zabaleta"/>
      <sheetName val="Antepecho"/>
      <sheetName val="tejas"/>
      <sheetName val="Caballete tejas"/>
      <sheetName val="Pintura int"/>
      <sheetName val="Pintura ext "/>
      <sheetName val="Pintura Epoxica"/>
      <sheetName val="facilidad lavadora"/>
      <sheetName val="facilidad para sacadora"/>
      <sheetName val="lavadero"/>
      <sheetName val="inodoro1"/>
      <sheetName val="bañera1"/>
      <sheetName val="Dp 1"/>
      <sheetName val="Venti.de3&quot;1ro"/>
      <sheetName val="Bajante de Descarga 4&quot;"/>
      <sheetName val="Bajante de Descarga 3&quot;"/>
      <sheetName val="lavamanos1 "/>
      <sheetName val="fregadero1"/>
      <sheetName val="Calentador1"/>
      <sheetName val="bajante pluvial1"/>
      <sheetName val="Col.h2o so 0.75"/>
      <sheetName val="Tuberia 1&quot;"/>
      <sheetName val="Tuberia 1.5&quot;"/>
      <sheetName val="Arrastre 4&quot;"/>
      <sheetName val="Arrastre 6&quot; "/>
      <sheetName val="Arrastre 8&quot;"/>
      <sheetName val="Registro de Inspeccion"/>
      <sheetName val="Registro de Inspecc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leno de Zanjas Tuberias _2_"/>
      <sheetName val="Caract_ Proy_"/>
      <sheetName val="Precios"/>
      <sheetName val="Insumo"/>
      <sheetName val="M_O_"/>
      <sheetName val="Presupuesto"/>
      <sheetName val="E_y H_"/>
      <sheetName val="Anal_Costo"/>
      <sheetName val="remocion de capa vegetal"/>
      <sheetName val="Replanteo"/>
      <sheetName val="excavaciones"/>
      <sheetName val="Mov_ Tierra"/>
      <sheetName val="charrancha"/>
      <sheetName val="relleno de Zanjas Tuberias"/>
      <sheetName val="Coeficientes de expansión"/>
      <sheetName val="Analisis tab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D9" t="str">
            <v>EYH-002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 B(pista)"/>
      <sheetName val="Alternativa B(carreteo)"/>
      <sheetName val="Alternativa Nueva Ruta pista"/>
      <sheetName val="Alternativa Nueva Ruta carreteo"/>
      <sheetName val="Alternativa C(AGREGADOS)tritura"/>
      <sheetName val="Alternativa C(AGREGADOS)transpo"/>
      <sheetName val="Alternativa C(AGREGADOS)tra (2)"/>
      <sheetName val="Alternativa B Rampa ruta 1"/>
      <sheetName val="Alternativa B rampa ruta 2"/>
      <sheetName val="Const. desvio"/>
      <sheetName val="Tabla Reajuste costos"/>
      <sheetName val="Tabla Reajuste costos resumida"/>
      <sheetName val="Partidas Generales"/>
      <sheetName val="Mov. tierra"/>
      <sheetName val="Pavimento en Pista"/>
      <sheetName val="Pavimentos Alt. B"/>
      <sheetName val="Pavimentos Alt. B nueva ruta"/>
      <sheetName val="Obras Misceláneas"/>
      <sheetName val="Lista de Precios"/>
      <sheetName val="Análisis Soporte"/>
      <sheetName val="Reclamador de caminos"/>
      <sheetName val="Reclamador de caminos (2)"/>
      <sheetName val="Trituradora"/>
      <sheetName val="Trituradora (2)"/>
      <sheetName val="Planta Eléctrica"/>
      <sheetName val="Planta Eléctrica (2)"/>
      <sheetName val="Lavador"/>
      <sheetName val="Lavador (2)"/>
      <sheetName val="Oferta Negrito Mov. Tierra"/>
      <sheetName val="Oferta Negrito trituración"/>
      <sheetName val="Programa Equipos"/>
      <sheetName val="Equipos Necesarios"/>
      <sheetName val="ESTRUCTURA PISTA"/>
      <sheetName val="ESTRUCTURA TAXIWAY"/>
      <sheetName val="Calculo de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C8" t="str">
            <v>: LA ROMANA, R.D.</v>
          </cell>
        </row>
        <row r="9">
          <cell r="D9" t="str">
            <v>C:\CONCURSO\OFERTA\SEOPC\BOCACHIC\AEROMANA.XLS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INST. ELECTRICAS"/>
      <sheetName val="Presup AA 1ra Etapa Fase 1"/>
      <sheetName val="EDIFICIO COUNTERS"/>
      <sheetName val="VIALIDAD ACCESO A TERMINAL"/>
      <sheetName val="AREA EXTERIOR Y PARQUEO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RESUMEN Mov.Tierra"/>
      <sheetName val="Preliminares Mov. Tierra"/>
      <sheetName val="Analisis Mov. Tierras"/>
      <sheetName val="Soportes Mov. Tierra"/>
      <sheetName val="Costo horario Equipos"/>
      <sheetName val="M.O."/>
      <sheetName val="Precios"/>
      <sheetName val="Charrancha"/>
      <sheetName val="Verja en Plywood"/>
      <sheetName val="Hormigon 1.2.4"/>
      <sheetName val="Hormigon 1.3.5"/>
      <sheetName val="Mortero colc. piso"/>
      <sheetName val="Mortero para bloque"/>
      <sheetName val="Mortero para panete"/>
      <sheetName val="Zapata Z1 Migracion"/>
      <sheetName val="Zapata Z2 Migracion"/>
      <sheetName val="Zapata Z1"/>
      <sheetName val="Zapata Z2"/>
      <sheetName val="Zapata Z3"/>
      <sheetName val="Zapata Z4"/>
      <sheetName val="Zapata Z5"/>
      <sheetName val="Zapata Muro Hormigon"/>
      <sheetName val="Muro de Contencion"/>
      <sheetName val="Cabezales Alcantarillas"/>
      <sheetName val="Hormigon de Limpieza Zap."/>
      <sheetName val="Hormigon de Limpieza Zap. (2)"/>
      <sheetName val="Zapata Muro 6&quot;"/>
      <sheetName val="Zapata  Muro 8&quot;"/>
      <sheetName val="Dinteles"/>
      <sheetName val="Viga eje A"/>
      <sheetName val="Viga eje D"/>
      <sheetName val="Viga eje E"/>
      <sheetName val="Viga Soporte Escalera"/>
      <sheetName val="Viga eje 17"/>
      <sheetName val="Viga eje 12 Y 16"/>
      <sheetName val="Viga eje 13,14 Y 15"/>
      <sheetName val="Viga eje 18"/>
      <sheetName val="Viga eje B y C"/>
      <sheetName val="Viga eje C (Mezanine)"/>
      <sheetName val="Viga eje D (Mezanine)"/>
      <sheetName val="Viga eje E (Mezanine)"/>
      <sheetName val="Viga Mezanine (VM)"/>
      <sheetName val="Viga  Riostra"/>
      <sheetName val="Viga A, B, C y D prima"/>
      <sheetName val="Viga eje 1 y 4"/>
      <sheetName val="Viga eje 2 y 3"/>
      <sheetName val="Viga eje A prima Fascia"/>
      <sheetName val="Ca"/>
      <sheetName val="Columnas C1"/>
      <sheetName val="Menzulas en Columnas"/>
      <sheetName val="H.A. losas"/>
      <sheetName val="Losa Vuelo eje 1"/>
      <sheetName val="Losa Vuelo eje 4 y D prima"/>
      <sheetName val="Losa Completivo H.C."/>
      <sheetName val="Topping"/>
      <sheetName val="Torta de Piso Fibra"/>
      <sheetName val="Piso Frotado"/>
      <sheetName val="Piso Pulido"/>
      <sheetName val="Piso Horm. Malla"/>
      <sheetName val="Piso Fibra y Helicoptero"/>
      <sheetName val="Rampa Escalera"/>
      <sheetName val="Bordillo de Proteccion"/>
      <sheetName val="Bordillo Isleta 0.2 x 0.25"/>
      <sheetName val="Contenes"/>
      <sheetName val="Aceras"/>
      <sheetName val="Cunetas"/>
      <sheetName val="Block 6&quot; @ 0.40"/>
      <sheetName val="Block 6&quot; @ 0.60"/>
      <sheetName val="Block 6&quot; @ 0.80"/>
      <sheetName val="Block 8&quot; @ 0.20"/>
      <sheetName val="Block 8&quot; @ 0.40"/>
      <sheetName val="Block 8&quot; @ 0.60"/>
      <sheetName val="Block 8&quot; @ 0.80"/>
      <sheetName val="fraguche"/>
      <sheetName val="NATILLA PARED PEGAFORTE"/>
      <sheetName val="Pañete techo"/>
      <sheetName val="Pañete int "/>
      <sheetName val="Pañete ext "/>
      <sheetName val="Mocheta "/>
      <sheetName val="Canto "/>
      <sheetName val="REPELLO"/>
      <sheetName val="goteros colgantes"/>
      <sheetName val="Huella Esc. Porcelanato"/>
      <sheetName val="Piso Porcelanato"/>
      <sheetName val="Piso marmol Travertino"/>
      <sheetName val="Piso marmol Perlato Olimpo"/>
      <sheetName val="Zocalo de Porcelanato"/>
      <sheetName val="Zocalo de Marmol Travertino"/>
      <sheetName val="Zocalo de Marmol Perlato"/>
      <sheetName val="Revestimiento Porcelanato "/>
      <sheetName val="Revestimiento Marmol Travertino"/>
      <sheetName val="Cenefa"/>
      <sheetName val="Fino"/>
      <sheetName val="Zabaleta"/>
      <sheetName val="Pintura int. Acrilica"/>
      <sheetName val="Pintura int. Semi Gloss"/>
      <sheetName val="Pintura ext. Acrilica "/>
      <sheetName val="Pintura ext. Semi Gloss"/>
      <sheetName val="Pintura Trafico"/>
      <sheetName val="Pintura Acrilica Techo"/>
      <sheetName val="CISTERNA"/>
      <sheetName val="H.A. losa Cisterna"/>
      <sheetName val="Platea Cisterna"/>
      <sheetName val="Pañete Pulido"/>
      <sheetName val="Zabaleta Pulida"/>
      <sheetName val="Col Cisterna"/>
      <sheetName val="Muro de Cont. Cisterna"/>
      <sheetName val="Zapata Col. Cisterna"/>
      <sheetName val="Viga  Cister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>
        <row r="12">
          <cell r="G12">
            <v>204.28</v>
          </cell>
        </row>
      </sheetData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"/>
      <sheetName val="Lista P.U."/>
      <sheetName val="Sheet15"/>
      <sheetName val="Sheet16"/>
    </sheetNames>
    <sheetDataSet>
      <sheetData sheetId="0"/>
      <sheetData sheetId="1">
        <row r="17">
          <cell r="D17">
            <v>12000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/>
      <sheetData sheetId="1"/>
      <sheetData sheetId="2"/>
      <sheetData sheetId="3"/>
      <sheetData sheetId="4"/>
      <sheetData sheetId="5"/>
      <sheetData sheetId="6">
        <row r="3213">
          <cell r="F3213">
            <v>405.65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autoPageBreaks="0"/>
  </sheetPr>
  <dimension ref="A1:N42"/>
  <sheetViews>
    <sheetView showGridLines="0" showZeros="0" view="pageBreakPreview" zoomScale="70" zoomScaleNormal="70" zoomScaleSheetLayoutView="70" workbookViewId="0">
      <selection activeCell="G23" sqref="G23"/>
    </sheetView>
  </sheetViews>
  <sheetFormatPr defaultColWidth="11.42578125" defaultRowHeight="15"/>
  <cols>
    <col min="1" max="1" width="12" style="49" customWidth="1"/>
    <col min="2" max="2" width="9.7109375" style="49" customWidth="1"/>
    <col min="3" max="3" width="54.85546875" style="124" customWidth="1"/>
    <col min="4" max="4" width="12" style="125" customWidth="1"/>
    <col min="5" max="5" width="12.85546875" style="125" customWidth="1"/>
    <col min="6" max="6" width="14.5703125" style="126" customWidth="1"/>
    <col min="7" max="7" width="20.28515625" style="127" customWidth="1"/>
    <col min="8" max="8" width="15.28515625" style="127" hidden="1" customWidth="1"/>
    <col min="9" max="9" width="22" style="79" customWidth="1"/>
    <col min="10" max="10" width="15" style="48" customWidth="1"/>
    <col min="11" max="11" width="14.85546875" style="49" bestFit="1" customWidth="1"/>
    <col min="12" max="12" width="12.7109375" style="49" bestFit="1" customWidth="1"/>
    <col min="13" max="16384" width="11.42578125" style="49"/>
  </cols>
  <sheetData>
    <row r="1" spans="1:10" s="130" customFormat="1" ht="20.25">
      <c r="A1" s="247" t="s">
        <v>8</v>
      </c>
      <c r="B1" s="247"/>
      <c r="C1" s="247"/>
      <c r="D1" s="247"/>
      <c r="E1" s="247"/>
      <c r="F1" s="247"/>
      <c r="G1" s="247"/>
      <c r="H1" s="247"/>
      <c r="I1" s="247"/>
      <c r="J1" s="129"/>
    </row>
    <row r="2" spans="1:10" s="130" customFormat="1" ht="22.5" customHeight="1">
      <c r="A2" s="247" t="s">
        <v>101</v>
      </c>
      <c r="B2" s="247"/>
      <c r="C2" s="247"/>
      <c r="D2" s="247"/>
      <c r="E2" s="247"/>
      <c r="F2" s="247"/>
      <c r="G2" s="247"/>
      <c r="H2" s="247"/>
      <c r="I2" s="247"/>
      <c r="J2" s="129"/>
    </row>
    <row r="3" spans="1:10" s="130" customFormat="1" ht="21" thickBot="1">
      <c r="A3" s="131"/>
      <c r="B3" s="131"/>
      <c r="C3" s="132"/>
      <c r="D3" s="128"/>
      <c r="E3" s="128"/>
      <c r="F3" s="133"/>
      <c r="G3" s="134"/>
      <c r="H3" s="134"/>
      <c r="I3" s="128"/>
      <c r="J3" s="129"/>
    </row>
    <row r="4" spans="1:10" s="130" customFormat="1" ht="24" customHeight="1">
      <c r="A4" s="256" t="s">
        <v>111</v>
      </c>
      <c r="B4" s="257"/>
      <c r="C4" s="257"/>
      <c r="D4" s="257"/>
      <c r="E4" s="257"/>
      <c r="F4" s="257"/>
      <c r="G4" s="257"/>
      <c r="H4" s="257"/>
      <c r="I4" s="258"/>
      <c r="J4" s="129"/>
    </row>
    <row r="5" spans="1:10" s="130" customFormat="1" ht="21.75" customHeight="1" thickBot="1">
      <c r="A5" s="259"/>
      <c r="B5" s="260"/>
      <c r="C5" s="260"/>
      <c r="D5" s="260"/>
      <c r="E5" s="260"/>
      <c r="F5" s="260"/>
      <c r="G5" s="260"/>
      <c r="H5" s="260"/>
      <c r="I5" s="261"/>
      <c r="J5" s="129"/>
    </row>
    <row r="6" spans="1:10" ht="14.1" customHeight="1">
      <c r="A6" s="262"/>
      <c r="B6" s="262"/>
      <c r="C6" s="263"/>
      <c r="D6" s="53"/>
      <c r="E6" s="54" t="s">
        <v>0</v>
      </c>
      <c r="F6" s="55"/>
      <c r="G6" s="56" t="s">
        <v>0</v>
      </c>
      <c r="H6" s="56"/>
      <c r="I6" s="57"/>
    </row>
    <row r="7" spans="1:10" ht="18" customHeight="1">
      <c r="A7" s="61"/>
      <c r="B7" s="61"/>
      <c r="C7" s="52"/>
      <c r="D7" s="53"/>
      <c r="E7" s="53"/>
      <c r="F7" s="58"/>
      <c r="G7" s="80"/>
      <c r="H7" s="80"/>
      <c r="I7" s="57"/>
    </row>
    <row r="8" spans="1:10" s="51" customFormat="1" ht="32.25" customHeight="1">
      <c r="A8" s="135" t="s">
        <v>85</v>
      </c>
      <c r="B8" s="136"/>
      <c r="C8" s="142"/>
      <c r="D8" s="137" t="s">
        <v>1</v>
      </c>
      <c r="E8" s="138"/>
      <c r="F8" s="265">
        <f ca="1">TODAY()</f>
        <v>41618</v>
      </c>
      <c r="G8" s="265"/>
      <c r="H8" s="265"/>
      <c r="I8" s="136"/>
      <c r="J8" s="50"/>
    </row>
    <row r="9" spans="1:10" s="51" customFormat="1" ht="18" customHeight="1">
      <c r="A9" s="135" t="s">
        <v>9</v>
      </c>
      <c r="B9" s="136"/>
      <c r="C9" s="60" t="s">
        <v>103</v>
      </c>
      <c r="D9" s="137" t="s">
        <v>86</v>
      </c>
      <c r="E9" s="138"/>
      <c r="F9" s="264" t="s">
        <v>95</v>
      </c>
      <c r="G9" s="264"/>
      <c r="H9" s="264"/>
      <c r="I9" s="139"/>
      <c r="J9" s="144"/>
    </row>
    <row r="10" spans="1:10" ht="18" customHeight="1" thickBot="1">
      <c r="A10" s="52"/>
      <c r="B10" s="52"/>
      <c r="C10" s="52"/>
      <c r="D10" s="59"/>
      <c r="E10" s="61"/>
      <c r="F10" s="58"/>
      <c r="G10" s="63"/>
      <c r="H10" s="63"/>
      <c r="I10" s="62"/>
      <c r="J10" s="145"/>
    </row>
    <row r="11" spans="1:10" s="46" customFormat="1" ht="23.25" customHeight="1">
      <c r="A11" s="252" t="s">
        <v>2</v>
      </c>
      <c r="B11" s="45"/>
      <c r="C11" s="248" t="s">
        <v>3</v>
      </c>
      <c r="D11" s="254" t="s">
        <v>5</v>
      </c>
      <c r="E11" s="254" t="s">
        <v>4</v>
      </c>
      <c r="F11" s="248" t="s">
        <v>96</v>
      </c>
      <c r="G11" s="248" t="s">
        <v>97</v>
      </c>
      <c r="H11" s="248" t="s">
        <v>10</v>
      </c>
      <c r="I11" s="250" t="s">
        <v>98</v>
      </c>
      <c r="J11" s="88"/>
    </row>
    <row r="12" spans="1:10" s="46" customFormat="1" ht="36.75" customHeight="1">
      <c r="A12" s="253"/>
      <c r="B12" s="47"/>
      <c r="C12" s="249"/>
      <c r="D12" s="255"/>
      <c r="E12" s="255"/>
      <c r="F12" s="249"/>
      <c r="G12" s="249"/>
      <c r="H12" s="249"/>
      <c r="I12" s="251"/>
      <c r="J12" s="88"/>
    </row>
    <row r="13" spans="1:10" s="88" customFormat="1" ht="18" customHeight="1">
      <c r="A13" s="81"/>
      <c r="B13" s="82"/>
      <c r="C13" s="83"/>
      <c r="D13" s="84" t="s">
        <v>88</v>
      </c>
      <c r="E13" s="85" t="s">
        <v>89</v>
      </c>
      <c r="F13" s="85" t="s">
        <v>90</v>
      </c>
      <c r="G13" s="86" t="s">
        <v>91</v>
      </c>
      <c r="H13" s="86" t="s">
        <v>92</v>
      </c>
      <c r="I13" s="87" t="s">
        <v>93</v>
      </c>
    </row>
    <row r="14" spans="1:10" s="88" customFormat="1" ht="27" customHeight="1" thickBot="1">
      <c r="A14" s="89"/>
      <c r="B14" s="90"/>
      <c r="C14" s="91"/>
      <c r="D14" s="91"/>
      <c r="E14" s="92"/>
      <c r="F14" s="93"/>
      <c r="G14" s="94" t="s">
        <v>99</v>
      </c>
      <c r="H14" s="95">
        <v>0.16</v>
      </c>
      <c r="I14" s="96" t="s">
        <v>94</v>
      </c>
    </row>
    <row r="15" spans="1:10" ht="8.1" customHeight="1">
      <c r="A15" s="97"/>
      <c r="B15" s="61"/>
      <c r="C15" s="98"/>
      <c r="D15" s="61"/>
      <c r="E15" s="99"/>
      <c r="F15" s="99"/>
      <c r="G15" s="99"/>
      <c r="H15" s="99"/>
      <c r="I15" s="100"/>
      <c r="J15" s="49"/>
    </row>
    <row r="16" spans="1:10" ht="15.75">
      <c r="A16" s="101">
        <v>1</v>
      </c>
      <c r="B16" s="102" t="s">
        <v>100</v>
      </c>
      <c r="C16" s="103" t="s">
        <v>108</v>
      </c>
      <c r="D16" s="43" t="s">
        <v>100</v>
      </c>
      <c r="E16" s="44" t="s">
        <v>100</v>
      </c>
      <c r="F16" s="104" t="s">
        <v>100</v>
      </c>
      <c r="G16" s="106">
        <f>SUBTOTAL(9,G17:G18)</f>
        <v>37000</v>
      </c>
      <c r="H16" s="140"/>
      <c r="I16" s="106">
        <f>SUBTOTAL(9,I17:I18)</f>
        <v>37000</v>
      </c>
      <c r="J16" s="49"/>
    </row>
    <row r="17" spans="1:14">
      <c r="A17" s="114">
        <f>+A16+0.01</f>
        <v>1.01</v>
      </c>
      <c r="B17" s="108"/>
      <c r="C17" s="109" t="s">
        <v>119</v>
      </c>
      <c r="D17" s="110" t="s">
        <v>118</v>
      </c>
      <c r="E17" s="111">
        <v>1</v>
      </c>
      <c r="F17" s="141">
        <v>20000</v>
      </c>
      <c r="G17" s="112">
        <f>IF(E17="","",(ROUND(F17*E17,2)))</f>
        <v>20000</v>
      </c>
      <c r="H17" s="112"/>
      <c r="I17" s="113">
        <f>IF(F17="","",(ROUND(G17+H17,2)))</f>
        <v>20000</v>
      </c>
      <c r="J17" s="49"/>
    </row>
    <row r="18" spans="1:14">
      <c r="A18" s="114">
        <f>+A17+0.01</f>
        <v>1.02</v>
      </c>
      <c r="B18" s="108"/>
      <c r="C18" s="109" t="s">
        <v>116</v>
      </c>
      <c r="D18" s="110" t="s">
        <v>118</v>
      </c>
      <c r="E18" s="111">
        <v>1</v>
      </c>
      <c r="F18" s="141">
        <f>+(8500)*2*1</f>
        <v>17000</v>
      </c>
      <c r="G18" s="112">
        <f>IF(E18="","",(ROUND(F18*E18,2)))</f>
        <v>17000</v>
      </c>
      <c r="H18" s="112"/>
      <c r="I18" s="113">
        <f>IF(F18="","",(ROUND(G18+H18,2)))</f>
        <v>17000</v>
      </c>
      <c r="J18" s="49"/>
    </row>
    <row r="19" spans="1:14" ht="15.75">
      <c r="A19" s="37"/>
      <c r="B19" s="38"/>
      <c r="C19" s="39"/>
      <c r="D19" s="40"/>
      <c r="E19" s="41"/>
      <c r="F19" s="41"/>
      <c r="G19" s="41"/>
      <c r="H19" s="153"/>
      <c r="I19" s="42"/>
      <c r="J19" s="49"/>
    </row>
    <row r="20" spans="1:14" s="107" customFormat="1" ht="15.75">
      <c r="A20" s="101">
        <v>2</v>
      </c>
      <c r="B20" s="102" t="s">
        <v>100</v>
      </c>
      <c r="C20" s="103" t="s">
        <v>117</v>
      </c>
      <c r="D20" s="43" t="s">
        <v>100</v>
      </c>
      <c r="E20" s="44" t="s">
        <v>100</v>
      </c>
      <c r="F20" s="104" t="s">
        <v>100</v>
      </c>
      <c r="G20" s="105">
        <f>SUBTOTAL(9,G21:G26)</f>
        <v>275276.51</v>
      </c>
      <c r="H20" s="140"/>
      <c r="I20" s="106">
        <f>SUBTOTAL(9,I21:I26)</f>
        <v>275276.51</v>
      </c>
      <c r="N20" s="49"/>
    </row>
    <row r="21" spans="1:14" s="107" customFormat="1" ht="29.25" customHeight="1">
      <c r="A21" s="114">
        <f>+A20+0.01</f>
        <v>2.0099999999999998</v>
      </c>
      <c r="B21" s="108"/>
      <c r="C21" s="109" t="s">
        <v>120</v>
      </c>
      <c r="D21" s="110" t="s">
        <v>109</v>
      </c>
      <c r="E21" s="111">
        <f>+E23*1.3</f>
        <v>1613.04</v>
      </c>
      <c r="F21" s="141">
        <f>+'[10]Mov. Tierra'!$F$75</f>
        <v>28.99</v>
      </c>
      <c r="G21" s="112">
        <f t="shared" ref="G21:G26" si="0">IF(E21="","",(ROUND(F21*E21,2)))</f>
        <v>46762.03</v>
      </c>
      <c r="H21" s="112"/>
      <c r="I21" s="113">
        <f t="shared" ref="I21:I26" si="1">IF(F21="","",(ROUND(G21+H21,2)))</f>
        <v>46762.03</v>
      </c>
      <c r="J21" s="124"/>
    </row>
    <row r="22" spans="1:14" s="107" customFormat="1" ht="15.75">
      <c r="A22" s="114">
        <f>+A21+0.01</f>
        <v>2.02</v>
      </c>
      <c r="B22" s="108"/>
      <c r="C22" s="109" t="s">
        <v>121</v>
      </c>
      <c r="D22" s="110" t="s">
        <v>109</v>
      </c>
      <c r="E22" s="111">
        <f>+E23*1.3</f>
        <v>1613.04</v>
      </c>
      <c r="F22" s="141">
        <f>+'[10]Mov. Tierra'!$F$141</f>
        <v>55.04</v>
      </c>
      <c r="G22" s="112">
        <f t="shared" si="0"/>
        <v>88781.72</v>
      </c>
      <c r="H22" s="112"/>
      <c r="I22" s="113">
        <f t="shared" si="1"/>
        <v>88781.72</v>
      </c>
      <c r="J22" s="124"/>
    </row>
    <row r="23" spans="1:14" s="107" customFormat="1" ht="15.75">
      <c r="A23" s="114">
        <f>+A22+0.01</f>
        <v>2.0299999999999998</v>
      </c>
      <c r="B23" s="108"/>
      <c r="C23" s="109" t="s">
        <v>112</v>
      </c>
      <c r="D23" s="110" t="s">
        <v>47</v>
      </c>
      <c r="E23" s="111">
        <v>1240.8</v>
      </c>
      <c r="F23" s="141">
        <f>+'[10]Mov. Tierra'!$F$39</f>
        <v>92.45</v>
      </c>
      <c r="G23" s="112">
        <f t="shared" si="0"/>
        <v>114711.96</v>
      </c>
      <c r="H23" s="112"/>
      <c r="I23" s="113">
        <f t="shared" si="1"/>
        <v>114711.96</v>
      </c>
      <c r="J23" s="124"/>
    </row>
    <row r="24" spans="1:14" s="107" customFormat="1" ht="15.75">
      <c r="A24" s="114">
        <f>+A23+0.01</f>
        <v>2.04</v>
      </c>
      <c r="B24" s="108"/>
      <c r="C24" s="109" t="s">
        <v>113</v>
      </c>
      <c r="D24" s="110" t="s">
        <v>114</v>
      </c>
      <c r="E24" s="111">
        <f>160*7</f>
        <v>1120</v>
      </c>
      <c r="F24" s="141">
        <f>+'[10]Mov. Tierra'!$F$106</f>
        <v>22.34</v>
      </c>
      <c r="G24" s="112">
        <f>IF(E24="","",(ROUND(F24*E24,2)))</f>
        <v>25020.799999999999</v>
      </c>
      <c r="H24" s="112"/>
      <c r="I24" s="113">
        <f>IF(F24="","",(ROUND(G24+H24,2)))</f>
        <v>25020.799999999999</v>
      </c>
      <c r="J24" s="124"/>
    </row>
    <row r="25" spans="1:14" s="107" customFormat="1" ht="15.75">
      <c r="A25" s="114"/>
      <c r="B25" s="108"/>
      <c r="C25" s="109"/>
      <c r="D25" s="110"/>
      <c r="E25" s="111"/>
      <c r="F25" s="141"/>
      <c r="G25" s="112"/>
      <c r="H25" s="112"/>
      <c r="I25" s="113"/>
      <c r="J25" s="124"/>
    </row>
    <row r="26" spans="1:14" s="107" customFormat="1" ht="15.75">
      <c r="A26" s="114"/>
      <c r="B26" s="108"/>
      <c r="C26" s="109"/>
      <c r="D26" s="110"/>
      <c r="E26" s="111"/>
      <c r="F26" s="112"/>
      <c r="G26" s="112" t="str">
        <f t="shared" si="0"/>
        <v/>
      </c>
      <c r="H26" s="112"/>
      <c r="I26" s="113" t="str">
        <f t="shared" si="1"/>
        <v/>
      </c>
      <c r="J26" s="124"/>
    </row>
    <row r="27" spans="1:14" s="107" customFormat="1" ht="16.5" thickBot="1">
      <c r="A27" s="115"/>
      <c r="B27" s="116"/>
      <c r="C27" s="117"/>
      <c r="D27" s="116"/>
      <c r="E27" s="118"/>
      <c r="F27" s="119"/>
      <c r="G27" s="120"/>
      <c r="H27" s="121"/>
      <c r="I27" s="122"/>
      <c r="J27" s="124"/>
    </row>
    <row r="28" spans="1:14" ht="15.75" thickBot="1">
      <c r="A28" s="269" t="s">
        <v>84</v>
      </c>
      <c r="B28" s="270"/>
      <c r="C28" s="270"/>
      <c r="D28" s="270"/>
      <c r="E28" s="270"/>
      <c r="F28" s="271"/>
      <c r="G28" s="155">
        <f>SUBTOTAL(9,G16:G26)</f>
        <v>312276.51</v>
      </c>
      <c r="H28" s="64"/>
      <c r="I28" s="156">
        <f>SUBTOTAL(9,I16:I26)</f>
        <v>312276.51</v>
      </c>
      <c r="J28" s="154"/>
      <c r="K28" s="48"/>
    </row>
    <row r="29" spans="1:14">
      <c r="A29" s="97"/>
      <c r="B29" s="61"/>
      <c r="C29" s="66"/>
      <c r="D29" s="53"/>
      <c r="E29" s="152"/>
      <c r="F29" s="58"/>
      <c r="G29" s="80"/>
      <c r="H29" s="80"/>
      <c r="I29" s="67"/>
    </row>
    <row r="30" spans="1:14" ht="15.75">
      <c r="A30" s="123">
        <v>6</v>
      </c>
      <c r="B30" s="68"/>
      <c r="C30" s="69" t="s">
        <v>83</v>
      </c>
      <c r="D30" s="72"/>
      <c r="E30" s="151">
        <f>SUM(E31:E35)</f>
        <v>0.19</v>
      </c>
      <c r="F30" s="73"/>
      <c r="G30" s="74"/>
      <c r="H30" s="75"/>
      <c r="I30" s="76"/>
    </row>
    <row r="31" spans="1:14">
      <c r="A31" s="114">
        <f>A30+0.01</f>
        <v>6.01</v>
      </c>
      <c r="B31" s="70"/>
      <c r="C31" s="71" t="s">
        <v>105</v>
      </c>
      <c r="D31" s="72"/>
      <c r="E31" s="149">
        <v>0.1</v>
      </c>
      <c r="F31" s="73"/>
      <c r="G31" s="74">
        <f>E31*$G$28</f>
        <v>31227.65</v>
      </c>
      <c r="H31" s="75"/>
      <c r="I31" s="76">
        <f t="shared" ref="I31:I36" si="2">+G31</f>
        <v>31227.65</v>
      </c>
    </row>
    <row r="32" spans="1:14">
      <c r="A32" s="114">
        <f>A31+0.01</f>
        <v>6.02</v>
      </c>
      <c r="B32" s="70"/>
      <c r="C32" s="71" t="s">
        <v>106</v>
      </c>
      <c r="D32" s="72"/>
      <c r="E32" s="150">
        <v>0.04</v>
      </c>
      <c r="F32" s="73"/>
      <c r="G32" s="74">
        <f>E32*$G$28</f>
        <v>12491.06</v>
      </c>
      <c r="H32" s="75"/>
      <c r="I32" s="76">
        <f t="shared" si="2"/>
        <v>12491.06</v>
      </c>
    </row>
    <row r="33" spans="1:11">
      <c r="A33" s="114">
        <f>A32+0.01</f>
        <v>6.03</v>
      </c>
      <c r="B33" s="70"/>
      <c r="C33" s="71" t="s">
        <v>110</v>
      </c>
      <c r="D33" s="72"/>
      <c r="E33" s="150">
        <v>0.03</v>
      </c>
      <c r="F33" s="73"/>
      <c r="G33" s="74">
        <f>E33*$G$28</f>
        <v>9368.2999999999993</v>
      </c>
      <c r="H33" s="75"/>
      <c r="I33" s="76">
        <f t="shared" si="2"/>
        <v>9368.2999999999993</v>
      </c>
    </row>
    <row r="34" spans="1:11">
      <c r="A34" s="114">
        <f>A33+0.01</f>
        <v>6.04</v>
      </c>
      <c r="B34" s="70"/>
      <c r="C34" s="71" t="s">
        <v>107</v>
      </c>
      <c r="D34" s="72"/>
      <c r="E34" s="150">
        <v>0.01</v>
      </c>
      <c r="F34" s="73"/>
      <c r="G34" s="74">
        <f>E34*$G$28</f>
        <v>3122.77</v>
      </c>
      <c r="H34" s="75"/>
      <c r="I34" s="76">
        <f t="shared" si="2"/>
        <v>3122.77</v>
      </c>
    </row>
    <row r="35" spans="1:11">
      <c r="A35" s="114">
        <f>A34+0.01</f>
        <v>6.05</v>
      </c>
      <c r="B35" s="70"/>
      <c r="C35" s="71" t="s">
        <v>115</v>
      </c>
      <c r="D35" s="72"/>
      <c r="E35" s="150">
        <v>0.01</v>
      </c>
      <c r="F35" s="73"/>
      <c r="G35" s="74">
        <f>E35*$G$28</f>
        <v>3122.77</v>
      </c>
      <c r="H35" s="75"/>
      <c r="I35" s="76">
        <f t="shared" si="2"/>
        <v>3122.77</v>
      </c>
    </row>
    <row r="36" spans="1:11" ht="15.75" thickBot="1">
      <c r="A36" s="272" t="s">
        <v>102</v>
      </c>
      <c r="B36" s="273"/>
      <c r="C36" s="273"/>
      <c r="D36" s="273"/>
      <c r="E36" s="273"/>
      <c r="F36" s="274"/>
      <c r="G36" s="146">
        <f>SUBTOTAL(9,G31:G35)</f>
        <v>59332.55</v>
      </c>
      <c r="H36" s="147"/>
      <c r="I36" s="148">
        <f t="shared" si="2"/>
        <v>59332.55</v>
      </c>
    </row>
    <row r="37" spans="1:11" ht="30.75" customHeight="1">
      <c r="A37" s="97"/>
      <c r="B37" s="61"/>
      <c r="C37" s="266" t="s">
        <v>104</v>
      </c>
      <c r="D37" s="266"/>
      <c r="E37" s="266"/>
      <c r="F37" s="266"/>
      <c r="G37" s="80"/>
      <c r="H37" s="80"/>
      <c r="I37" s="77">
        <f>(I36+I28)*0.1*0.16</f>
        <v>5945.74</v>
      </c>
      <c r="J37" s="154"/>
    </row>
    <row r="38" spans="1:11" ht="15.75" thickBot="1">
      <c r="A38" s="97"/>
      <c r="B38" s="61"/>
      <c r="C38" s="98"/>
      <c r="D38" s="53"/>
      <c r="E38" s="53"/>
      <c r="F38" s="58"/>
      <c r="G38" s="80"/>
      <c r="H38" s="80"/>
      <c r="I38" s="67"/>
    </row>
    <row r="39" spans="1:11" ht="18" thickBot="1">
      <c r="A39" s="269" t="s">
        <v>87</v>
      </c>
      <c r="B39" s="270"/>
      <c r="C39" s="270"/>
      <c r="D39" s="270"/>
      <c r="E39" s="270"/>
      <c r="F39" s="270"/>
      <c r="G39" s="271"/>
      <c r="H39" s="78"/>
      <c r="I39" s="65">
        <f>+I28+I36+I37</f>
        <v>377554.8</v>
      </c>
      <c r="K39" s="143"/>
    </row>
    <row r="42" spans="1:11" ht="30.75" customHeight="1">
      <c r="A42" s="267"/>
      <c r="B42" s="268"/>
      <c r="C42" s="268"/>
      <c r="D42" s="268"/>
      <c r="E42" s="268"/>
      <c r="F42" s="268"/>
      <c r="G42" s="268"/>
      <c r="H42" s="268"/>
      <c r="I42" s="268"/>
    </row>
  </sheetData>
  <protectedRanges>
    <protectedRange sqref="I19" name="Range1_3" securityDescriptor="O:WDG:WDD:(A;;CC;;;S-1-5-21-1952541830-2023783195-219632125-4442)"/>
    <protectedRange sqref="G20 I20 I16 G16" name="Range1_1_2" securityDescriptor="O:WDG:WDD:(A;;CC;;;S-1-5-21-1952541830-2023783195-219632125-4442)"/>
  </protectedRanges>
  <mergeCells count="19">
    <mergeCell ref="C37:F37"/>
    <mergeCell ref="A42:I42"/>
    <mergeCell ref="A39:G39"/>
    <mergeCell ref="A36:F36"/>
    <mergeCell ref="A28:F28"/>
    <mergeCell ref="A1:I1"/>
    <mergeCell ref="H11:H12"/>
    <mergeCell ref="I11:I12"/>
    <mergeCell ref="A11:A12"/>
    <mergeCell ref="C11:C12"/>
    <mergeCell ref="D11:D12"/>
    <mergeCell ref="E11:E12"/>
    <mergeCell ref="A4:I5"/>
    <mergeCell ref="A6:C6"/>
    <mergeCell ref="A2:I2"/>
    <mergeCell ref="F9:H9"/>
    <mergeCell ref="F8:H8"/>
    <mergeCell ref="F11:F12"/>
    <mergeCell ref="G11:G12"/>
  </mergeCells>
  <phoneticPr fontId="0" type="noConversion"/>
  <printOptions horizontalCentered="1"/>
  <pageMargins left="0.68" right="0.68" top="1" bottom="1.05" header="0.5" footer="0.36"/>
  <pageSetup scale="52" fitToWidth="7" fitToHeight="5" orientation="portrait" r:id="rId1"/>
  <headerFooter alignWithMargins="0">
    <oddHeader>&amp;L&amp;G&amp;R&amp;T</oddHeader>
    <oddFooter>&amp;LPreparado por: Dirección Administrativa de Proyectos&amp;R&amp;P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autoPageBreaks="0"/>
  </sheetPr>
  <dimension ref="A1:AJ119"/>
  <sheetViews>
    <sheetView showGridLines="0" showZeros="0" tabSelected="1" zoomScale="70" zoomScaleNormal="70" zoomScaleSheetLayoutView="70" workbookViewId="0">
      <selection activeCell="E123" sqref="E123"/>
    </sheetView>
  </sheetViews>
  <sheetFormatPr defaultColWidth="11.42578125" defaultRowHeight="15"/>
  <cols>
    <col min="1" max="1" width="12" style="49" customWidth="1"/>
    <col min="2" max="2" width="9.7109375" style="49" customWidth="1"/>
    <col min="3" max="3" width="54.85546875" style="124" customWidth="1"/>
    <col min="4" max="4" width="12" style="125" customWidth="1"/>
    <col min="5" max="5" width="14.42578125" style="125" customWidth="1"/>
    <col min="6" max="6" width="14.5703125" style="126" customWidth="1"/>
    <col min="7" max="7" width="20.28515625" style="127" customWidth="1"/>
    <col min="8" max="8" width="22.5703125" style="127" customWidth="1"/>
    <col min="9" max="9" width="22" style="79" customWidth="1"/>
    <col min="10" max="10" width="18.28515625" style="48" customWidth="1"/>
    <col min="11" max="11" width="15" style="49" bestFit="1" customWidth="1"/>
    <col min="12" max="12" width="15.7109375" style="49" bestFit="1" customWidth="1"/>
    <col min="13" max="14" width="11.42578125" style="49" customWidth="1"/>
    <col min="15" max="15" width="16" style="49" bestFit="1" customWidth="1"/>
    <col min="16" max="16384" width="11.42578125" style="49"/>
  </cols>
  <sheetData>
    <row r="1" spans="1:12" ht="20.25">
      <c r="A1" s="247" t="s">
        <v>152</v>
      </c>
      <c r="B1" s="247"/>
      <c r="C1" s="247"/>
      <c r="D1" s="247"/>
      <c r="E1" s="247"/>
      <c r="F1" s="247"/>
      <c r="G1" s="247"/>
      <c r="H1" s="247"/>
      <c r="I1" s="247"/>
    </row>
    <row r="2" spans="1:12" s="130" customFormat="1" ht="20.25">
      <c r="A2" s="247" t="s">
        <v>172</v>
      </c>
      <c r="B2" s="247"/>
      <c r="C2" s="247"/>
      <c r="D2" s="247"/>
      <c r="E2" s="247"/>
      <c r="F2" s="247"/>
      <c r="G2" s="247"/>
      <c r="H2" s="247"/>
      <c r="I2" s="247"/>
      <c r="J2" s="129"/>
    </row>
    <row r="3" spans="1:12" s="130" customFormat="1" ht="22.5" customHeight="1" thickBot="1">
      <c r="A3" s="131"/>
      <c r="B3" s="131"/>
      <c r="C3" s="132"/>
      <c r="D3" s="128"/>
      <c r="E3" s="128"/>
      <c r="F3" s="133"/>
      <c r="G3" s="134"/>
      <c r="H3" s="134"/>
      <c r="I3" s="128"/>
      <c r="J3" s="129"/>
    </row>
    <row r="4" spans="1:12" s="130" customFormat="1" ht="20.25">
      <c r="A4" s="256" t="s">
        <v>173</v>
      </c>
      <c r="B4" s="257"/>
      <c r="C4" s="257"/>
      <c r="D4" s="257"/>
      <c r="E4" s="257"/>
      <c r="F4" s="257"/>
      <c r="G4" s="257"/>
      <c r="H4" s="257"/>
      <c r="I4" s="258"/>
      <c r="J4" s="129"/>
    </row>
    <row r="5" spans="1:12" s="130" customFormat="1" ht="24" customHeight="1" thickBot="1">
      <c r="A5" s="259"/>
      <c r="B5" s="260"/>
      <c r="C5" s="260"/>
      <c r="D5" s="260"/>
      <c r="E5" s="260"/>
      <c r="F5" s="260"/>
      <c r="G5" s="260"/>
      <c r="H5" s="260"/>
      <c r="I5" s="261"/>
      <c r="J5" s="129"/>
    </row>
    <row r="6" spans="1:12" s="130" customFormat="1" ht="21.75" customHeight="1">
      <c r="A6" s="262"/>
      <c r="B6" s="262"/>
      <c r="C6" s="263"/>
      <c r="D6" s="53"/>
      <c r="E6" s="54" t="s">
        <v>0</v>
      </c>
      <c r="F6" s="55"/>
      <c r="G6" s="56" t="s">
        <v>0</v>
      </c>
      <c r="H6" s="56"/>
      <c r="I6" s="57"/>
      <c r="J6" s="129"/>
    </row>
    <row r="7" spans="1:12" ht="14.1" customHeight="1">
      <c r="A7" s="61"/>
      <c r="B7" s="61"/>
      <c r="C7" s="52"/>
      <c r="D7" s="53"/>
      <c r="E7" s="53"/>
      <c r="F7" s="58"/>
      <c r="G7" s="80"/>
      <c r="H7" s="80"/>
      <c r="I7" s="57"/>
      <c r="J7" s="192" t="s">
        <v>148</v>
      </c>
      <c r="K7" s="191">
        <v>42.52</v>
      </c>
    </row>
    <row r="8" spans="1:12" ht="18" customHeight="1">
      <c r="A8" s="135" t="s">
        <v>124</v>
      </c>
      <c r="B8" s="136"/>
      <c r="C8" s="157" t="s">
        <v>174</v>
      </c>
      <c r="D8" s="137" t="s">
        <v>125</v>
      </c>
      <c r="E8" s="138"/>
      <c r="F8" s="265" t="s">
        <v>171</v>
      </c>
      <c r="G8" s="265"/>
      <c r="H8" s="265"/>
      <c r="I8" s="136"/>
    </row>
    <row r="9" spans="1:12" s="51" customFormat="1" ht="18" customHeight="1" thickBot="1">
      <c r="A9" s="52"/>
      <c r="B9" s="52"/>
      <c r="C9" s="52"/>
      <c r="D9" s="59"/>
      <c r="E9" s="61"/>
      <c r="F9" s="58"/>
      <c r="G9" s="63"/>
      <c r="H9" s="63"/>
      <c r="I9" s="62"/>
      <c r="J9" s="144"/>
    </row>
    <row r="10" spans="1:12" ht="18" customHeight="1">
      <c r="A10" s="252" t="s">
        <v>2</v>
      </c>
      <c r="B10" s="45"/>
      <c r="C10" s="248" t="s">
        <v>126</v>
      </c>
      <c r="D10" s="254" t="s">
        <v>127</v>
      </c>
      <c r="E10" s="254" t="s">
        <v>128</v>
      </c>
      <c r="F10" s="248" t="s">
        <v>129</v>
      </c>
      <c r="G10" s="248" t="s">
        <v>97</v>
      </c>
      <c r="H10" s="248" t="s">
        <v>10</v>
      </c>
      <c r="I10" s="250" t="s">
        <v>130</v>
      </c>
      <c r="J10" s="145"/>
    </row>
    <row r="11" spans="1:12" s="46" customFormat="1" ht="23.25" customHeight="1">
      <c r="A11" s="253"/>
      <c r="B11" s="47"/>
      <c r="C11" s="249"/>
      <c r="D11" s="255"/>
      <c r="E11" s="255"/>
      <c r="F11" s="249"/>
      <c r="G11" s="249"/>
      <c r="H11" s="249"/>
      <c r="I11" s="251"/>
      <c r="J11" s="88"/>
    </row>
    <row r="12" spans="1:12" s="46" customFormat="1" ht="36.75" customHeight="1">
      <c r="A12" s="81"/>
      <c r="B12" s="82"/>
      <c r="C12" s="83"/>
      <c r="D12" s="84" t="s">
        <v>88</v>
      </c>
      <c r="E12" s="85" t="s">
        <v>89</v>
      </c>
      <c r="F12" s="85" t="s">
        <v>90</v>
      </c>
      <c r="G12" s="86" t="s">
        <v>91</v>
      </c>
      <c r="H12" s="86" t="s">
        <v>92</v>
      </c>
      <c r="I12" s="87" t="s">
        <v>93</v>
      </c>
      <c r="J12" s="88"/>
    </row>
    <row r="13" spans="1:12" s="88" customFormat="1" ht="18" customHeight="1">
      <c r="A13" s="161"/>
      <c r="B13" s="162"/>
      <c r="C13" s="163"/>
      <c r="D13" s="163"/>
      <c r="E13" s="164"/>
      <c r="F13" s="165"/>
      <c r="G13" s="166" t="s">
        <v>99</v>
      </c>
      <c r="H13" s="167">
        <v>0.18</v>
      </c>
      <c r="I13" s="168" t="s">
        <v>94</v>
      </c>
    </row>
    <row r="14" spans="1:12" s="88" customFormat="1" ht="27" customHeight="1">
      <c r="A14" s="97"/>
      <c r="B14" s="61"/>
      <c r="C14" s="98"/>
      <c r="D14" s="61"/>
      <c r="E14" s="99"/>
      <c r="F14" s="99"/>
      <c r="G14" s="99"/>
      <c r="H14" s="99"/>
      <c r="I14" s="100"/>
    </row>
    <row r="15" spans="1:12" s="107" customFormat="1" ht="15.75">
      <c r="A15" s="101" t="s">
        <v>88</v>
      </c>
      <c r="B15" s="170"/>
      <c r="C15" s="171" t="s">
        <v>131</v>
      </c>
      <c r="D15" s="172"/>
      <c r="E15" s="173"/>
      <c r="F15" s="104"/>
      <c r="G15" s="188">
        <f>SUBTOTAL(9,G16:G39)</f>
        <v>15177.1</v>
      </c>
      <c r="H15" s="188">
        <f t="shared" ref="H15:I15" si="0">SUBTOTAL(9,H16:H39)</f>
        <v>2698.02</v>
      </c>
      <c r="I15" s="188">
        <f t="shared" si="0"/>
        <v>17875.11</v>
      </c>
      <c r="J15" s="124"/>
      <c r="K15" s="183"/>
      <c r="L15" s="183"/>
    </row>
    <row r="16" spans="1:12" s="107" customFormat="1" ht="15.75">
      <c r="A16" s="101">
        <v>1</v>
      </c>
      <c r="B16" s="170"/>
      <c r="C16" s="171" t="s">
        <v>132</v>
      </c>
      <c r="D16" s="172"/>
      <c r="E16" s="173"/>
      <c r="F16" s="104"/>
      <c r="G16" s="188">
        <f>33107/K7</f>
        <v>778.62</v>
      </c>
      <c r="H16" s="188">
        <f>5959.26/K7</f>
        <v>140.15</v>
      </c>
      <c r="I16" s="188">
        <f>39066.26/K7</f>
        <v>918.77</v>
      </c>
      <c r="J16" s="124"/>
    </row>
    <row r="17" spans="1:10" s="107" customFormat="1" ht="15.75">
      <c r="A17" s="158"/>
      <c r="B17" s="174"/>
      <c r="C17" s="159"/>
      <c r="D17" s="160"/>
      <c r="E17" s="111"/>
      <c r="F17" s="141"/>
      <c r="G17" s="112"/>
      <c r="H17" s="141"/>
      <c r="I17" s="113"/>
      <c r="J17" s="124"/>
    </row>
    <row r="18" spans="1:10" s="107" customFormat="1" ht="15.75">
      <c r="A18" s="101">
        <v>2</v>
      </c>
      <c r="B18" s="170"/>
      <c r="C18" s="171" t="s">
        <v>150</v>
      </c>
      <c r="D18" s="172"/>
      <c r="E18" s="173"/>
      <c r="F18" s="104"/>
      <c r="G18" s="188">
        <f>46863.9/K7</f>
        <v>1102.1600000000001</v>
      </c>
      <c r="H18" s="188">
        <f>8435.5/K7</f>
        <v>198.39</v>
      </c>
      <c r="I18" s="188">
        <f>55299.4/K7</f>
        <v>1300.55</v>
      </c>
      <c r="J18" s="124"/>
    </row>
    <row r="19" spans="1:10" s="107" customFormat="1" ht="15.75">
      <c r="A19" s="158"/>
      <c r="B19" s="174"/>
      <c r="C19" s="159"/>
      <c r="D19" s="160"/>
      <c r="E19" s="111"/>
      <c r="F19" s="141"/>
      <c r="G19" s="189"/>
      <c r="H19" s="189"/>
      <c r="I19" s="189"/>
      <c r="J19" s="124"/>
    </row>
    <row r="20" spans="1:10" s="107" customFormat="1" ht="15.75">
      <c r="A20" s="101">
        <v>3</v>
      </c>
      <c r="B20" s="170"/>
      <c r="C20" s="171" t="s">
        <v>133</v>
      </c>
      <c r="D20" s="172"/>
      <c r="E20" s="173"/>
      <c r="F20" s="104"/>
      <c r="G20" s="188">
        <f>136424.18/K7</f>
        <v>3208.47</v>
      </c>
      <c r="H20" s="188">
        <f>24556.35/K7</f>
        <v>577.52</v>
      </c>
      <c r="I20" s="188">
        <f>160980.53/K7</f>
        <v>3786</v>
      </c>
      <c r="J20" s="124"/>
    </row>
    <row r="21" spans="1:10" s="107" customFormat="1" ht="15.75">
      <c r="A21" s="158"/>
      <c r="B21" s="174"/>
      <c r="C21" s="159"/>
      <c r="D21" s="160"/>
      <c r="E21" s="111"/>
      <c r="F21" s="141"/>
      <c r="G21" s="189"/>
      <c r="H21" s="189"/>
      <c r="I21" s="189"/>
      <c r="J21" s="124"/>
    </row>
    <row r="22" spans="1:10" s="107" customFormat="1" ht="15.75">
      <c r="A22" s="101">
        <v>4</v>
      </c>
      <c r="B22" s="170"/>
      <c r="C22" s="171" t="s">
        <v>134</v>
      </c>
      <c r="D22" s="172"/>
      <c r="E22" s="173"/>
      <c r="F22" s="104"/>
      <c r="G22" s="188">
        <f>84783.99/K7</f>
        <v>1993.98</v>
      </c>
      <c r="H22" s="188">
        <f>15261.12/K7</f>
        <v>358.92</v>
      </c>
      <c r="I22" s="188">
        <f>100045.11/K7</f>
        <v>2352.9</v>
      </c>
      <c r="J22" s="124"/>
    </row>
    <row r="23" spans="1:10" s="107" customFormat="1" ht="15.75">
      <c r="A23" s="158"/>
      <c r="B23" s="174"/>
      <c r="C23" s="159"/>
      <c r="D23" s="160"/>
      <c r="E23" s="111"/>
      <c r="F23" s="141"/>
      <c r="G23" s="189"/>
      <c r="H23" s="189"/>
      <c r="I23" s="189"/>
      <c r="J23" s="124"/>
    </row>
    <row r="24" spans="1:10" s="107" customFormat="1" ht="15.75">
      <c r="A24" s="101">
        <v>5</v>
      </c>
      <c r="B24" s="170"/>
      <c r="C24" s="171" t="s">
        <v>135</v>
      </c>
      <c r="D24" s="172"/>
      <c r="E24" s="173"/>
      <c r="F24" s="104"/>
      <c r="G24" s="188">
        <f>56791.5/K7</f>
        <v>1335.64</v>
      </c>
      <c r="H24" s="188">
        <f>10222.47/K7</f>
        <v>240.42</v>
      </c>
      <c r="I24" s="188">
        <f>67013.97/K7</f>
        <v>1576.06</v>
      </c>
      <c r="J24" s="124"/>
    </row>
    <row r="25" spans="1:10" s="107" customFormat="1" ht="15.75">
      <c r="A25" s="158"/>
      <c r="B25" s="174"/>
      <c r="C25" s="159"/>
      <c r="D25" s="160"/>
      <c r="E25" s="111"/>
      <c r="F25" s="141"/>
      <c r="G25" s="189"/>
      <c r="H25" s="189"/>
      <c r="I25" s="189"/>
      <c r="J25" s="124"/>
    </row>
    <row r="26" spans="1:10" s="107" customFormat="1" ht="15.75">
      <c r="A26" s="101">
        <v>6</v>
      </c>
      <c r="B26" s="170"/>
      <c r="C26" s="171" t="s">
        <v>136</v>
      </c>
      <c r="D26" s="172"/>
      <c r="E26" s="173"/>
      <c r="F26" s="104"/>
      <c r="G26" s="188">
        <f>41596.45/K7</f>
        <v>978.28</v>
      </c>
      <c r="H26" s="188">
        <f>7487.36/K7</f>
        <v>176.09</v>
      </c>
      <c r="I26" s="188">
        <f>49083.81/K7</f>
        <v>1154.3699999999999</v>
      </c>
      <c r="J26" s="124"/>
    </row>
    <row r="27" spans="1:10" s="107" customFormat="1" ht="15.75">
      <c r="A27" s="158"/>
      <c r="B27" s="174"/>
      <c r="C27" s="159"/>
      <c r="D27" s="160"/>
      <c r="E27" s="111"/>
      <c r="F27" s="141"/>
      <c r="G27" s="189"/>
      <c r="H27" s="189"/>
      <c r="I27" s="189"/>
      <c r="J27" s="124"/>
    </row>
    <row r="28" spans="1:10" s="107" customFormat="1" ht="15.75">
      <c r="A28" s="101">
        <v>7</v>
      </c>
      <c r="B28" s="170"/>
      <c r="C28" s="171" t="s">
        <v>137</v>
      </c>
      <c r="D28" s="172"/>
      <c r="E28" s="173"/>
      <c r="F28" s="104"/>
      <c r="G28" s="188">
        <f>39375.83/K7</f>
        <v>926.05</v>
      </c>
      <c r="H28" s="188">
        <f>7087.65/K7</f>
        <v>166.69</v>
      </c>
      <c r="I28" s="188">
        <f>46463.48/K7</f>
        <v>1092.74</v>
      </c>
      <c r="J28" s="124"/>
    </row>
    <row r="29" spans="1:10" s="107" customFormat="1" ht="15.75">
      <c r="A29" s="158"/>
      <c r="B29" s="174"/>
      <c r="C29" s="159"/>
      <c r="D29" s="160"/>
      <c r="E29" s="111"/>
      <c r="F29" s="141"/>
      <c r="G29" s="189"/>
      <c r="H29" s="189"/>
      <c r="I29" s="189"/>
      <c r="J29" s="124"/>
    </row>
    <row r="30" spans="1:10" s="107" customFormat="1" ht="15.75">
      <c r="A30" s="101">
        <v>8</v>
      </c>
      <c r="B30" s="170"/>
      <c r="C30" s="171" t="s">
        <v>138</v>
      </c>
      <c r="D30" s="172"/>
      <c r="E30" s="173"/>
      <c r="F30" s="104"/>
      <c r="G30" s="188">
        <f>30800/K7</f>
        <v>724.37</v>
      </c>
      <c r="H30" s="188">
        <f>5544/K7</f>
        <v>130.38999999999999</v>
      </c>
      <c r="I30" s="188">
        <f>36344/K7</f>
        <v>854.75</v>
      </c>
      <c r="J30" s="124"/>
    </row>
    <row r="31" spans="1:10" s="107" customFormat="1" ht="15.75">
      <c r="A31" s="158"/>
      <c r="B31" s="174"/>
      <c r="C31" s="159"/>
      <c r="D31" s="160"/>
      <c r="E31" s="111"/>
      <c r="F31" s="141"/>
      <c r="G31" s="189"/>
      <c r="H31" s="189"/>
      <c r="I31" s="189"/>
      <c r="J31" s="124"/>
    </row>
    <row r="32" spans="1:10" s="107" customFormat="1" ht="15.75">
      <c r="A32" s="101">
        <v>9</v>
      </c>
      <c r="B32" s="170"/>
      <c r="C32" s="171" t="s">
        <v>149</v>
      </c>
      <c r="D32" s="172"/>
      <c r="E32" s="173"/>
      <c r="F32" s="104"/>
      <c r="G32" s="188">
        <f>40416.87/K7</f>
        <v>950.54</v>
      </c>
      <c r="H32" s="188">
        <f>7275.04/K7</f>
        <v>171.1</v>
      </c>
      <c r="I32" s="188">
        <f>47691.91/K7</f>
        <v>1121.6300000000001</v>
      </c>
      <c r="J32" s="124"/>
    </row>
    <row r="33" spans="1:12" s="107" customFormat="1" ht="15.75">
      <c r="A33" s="158"/>
      <c r="B33" s="174"/>
      <c r="C33" s="159"/>
      <c r="D33" s="160"/>
      <c r="E33" s="111"/>
      <c r="F33" s="141"/>
      <c r="G33" s="189"/>
      <c r="H33" s="189"/>
      <c r="I33" s="189"/>
      <c r="J33" s="124"/>
    </row>
    <row r="34" spans="1:12" s="107" customFormat="1" ht="15.75">
      <c r="A34" s="101">
        <v>10</v>
      </c>
      <c r="B34" s="170"/>
      <c r="C34" s="171" t="s">
        <v>139</v>
      </c>
      <c r="D34" s="172"/>
      <c r="E34" s="173"/>
      <c r="F34" s="104"/>
      <c r="G34" s="188">
        <f>8000/K7</f>
        <v>188.15</v>
      </c>
      <c r="H34" s="188">
        <v>0</v>
      </c>
      <c r="I34" s="188">
        <f>8000/K7</f>
        <v>188.15</v>
      </c>
      <c r="J34" s="124"/>
    </row>
    <row r="35" spans="1:12" s="107" customFormat="1" ht="15.75">
      <c r="A35" s="158"/>
      <c r="B35" s="174"/>
      <c r="C35" s="159"/>
      <c r="D35" s="160"/>
      <c r="E35" s="111"/>
      <c r="F35" s="141"/>
      <c r="G35" s="189"/>
      <c r="H35" s="189"/>
      <c r="I35" s="189"/>
      <c r="J35" s="124"/>
    </row>
    <row r="36" spans="1:12" s="107" customFormat="1" ht="15.75">
      <c r="A36" s="101">
        <v>11</v>
      </c>
      <c r="B36" s="170"/>
      <c r="C36" s="171" t="s">
        <v>141</v>
      </c>
      <c r="D36" s="172"/>
      <c r="E36" s="173"/>
      <c r="F36" s="104"/>
      <c r="G36" s="188">
        <f>21900/K7</f>
        <v>515.04999999999995</v>
      </c>
      <c r="H36" s="188">
        <f>3942/K7</f>
        <v>92.71</v>
      </c>
      <c r="I36" s="188">
        <f>25842/K7</f>
        <v>607.76</v>
      </c>
      <c r="J36" s="180"/>
    </row>
    <row r="37" spans="1:12" s="107" customFormat="1" ht="15.75">
      <c r="A37" s="158"/>
      <c r="B37" s="174"/>
      <c r="C37" s="159"/>
      <c r="D37" s="160"/>
      <c r="E37" s="111"/>
      <c r="F37" s="141"/>
      <c r="G37" s="189"/>
      <c r="H37" s="189"/>
      <c r="I37" s="189"/>
      <c r="J37" s="180"/>
    </row>
    <row r="38" spans="1:12" s="107" customFormat="1" ht="15.75">
      <c r="A38" s="101">
        <v>12</v>
      </c>
      <c r="B38" s="170"/>
      <c r="C38" s="171" t="s">
        <v>140</v>
      </c>
      <c r="D38" s="172"/>
      <c r="E38" s="173"/>
      <c r="F38" s="104"/>
      <c r="G38" s="188">
        <f>105270.49/K7</f>
        <v>2475.79</v>
      </c>
      <c r="H38" s="188">
        <f>18948.68/K7</f>
        <v>445.64</v>
      </c>
      <c r="I38" s="188">
        <f>124219.17/K7</f>
        <v>2921.43</v>
      </c>
      <c r="J38" s="124"/>
    </row>
    <row r="39" spans="1:12" s="107" customFormat="1" ht="15.75">
      <c r="B39" s="174"/>
      <c r="D39" s="160"/>
      <c r="E39" s="111"/>
      <c r="F39" s="141"/>
      <c r="G39" s="189"/>
      <c r="H39" s="189"/>
      <c r="I39" s="189"/>
      <c r="J39" s="124"/>
    </row>
    <row r="40" spans="1:12" s="107" customFormat="1" ht="15.75">
      <c r="A40" s="101" t="s">
        <v>89</v>
      </c>
      <c r="B40" s="170"/>
      <c r="C40" s="171" t="s">
        <v>122</v>
      </c>
      <c r="D40" s="172"/>
      <c r="E40" s="173"/>
      <c r="F40" s="104"/>
      <c r="G40" s="188">
        <f>SUBTOTAL(9,G41:G61)</f>
        <v>22765</v>
      </c>
      <c r="H40" s="188">
        <f t="shared" ref="H40:I40" si="1">SUBTOTAL(9,H41:H61)</f>
        <v>3272.42</v>
      </c>
      <c r="I40" s="188">
        <f t="shared" si="1"/>
        <v>26037.42</v>
      </c>
      <c r="J40" s="190"/>
      <c r="K40" s="190"/>
      <c r="L40" s="190"/>
    </row>
    <row r="41" spans="1:12" s="107" customFormat="1" ht="15.75">
      <c r="A41" s="101">
        <v>1</v>
      </c>
      <c r="B41" s="170"/>
      <c r="C41" s="171" t="s">
        <v>132</v>
      </c>
      <c r="D41" s="172"/>
      <c r="E41" s="173"/>
      <c r="F41" s="104"/>
      <c r="G41" s="188">
        <f>153098.7/K7</f>
        <v>3600.63</v>
      </c>
      <c r="H41" s="188">
        <v>0</v>
      </c>
      <c r="I41" s="188">
        <f>153098.7/K7</f>
        <v>3600.63</v>
      </c>
      <c r="J41" s="124"/>
    </row>
    <row r="42" spans="1:12" s="107" customFormat="1" ht="15.75">
      <c r="A42" s="158"/>
      <c r="B42" s="174"/>
      <c r="C42" s="159"/>
      <c r="D42" s="160"/>
      <c r="E42" s="111"/>
      <c r="F42" s="141" t="s">
        <v>123</v>
      </c>
      <c r="G42" s="189"/>
      <c r="H42" s="189"/>
      <c r="I42" s="189"/>
      <c r="J42" s="124"/>
    </row>
    <row r="43" spans="1:12" s="107" customFormat="1" ht="15.75">
      <c r="A43" s="101">
        <v>2</v>
      </c>
      <c r="B43" s="170"/>
      <c r="C43" s="171" t="s">
        <v>150</v>
      </c>
      <c r="D43" s="172"/>
      <c r="E43" s="173"/>
      <c r="F43" s="104"/>
      <c r="G43" s="188">
        <f>23541/K7</f>
        <v>553.65</v>
      </c>
      <c r="H43" s="188">
        <f>4237.38/K7</f>
        <v>99.66</v>
      </c>
      <c r="I43" s="188">
        <f>27778.38/K7</f>
        <v>653.29999999999995</v>
      </c>
      <c r="J43" s="124"/>
    </row>
    <row r="44" spans="1:12" s="107" customFormat="1" ht="15.75">
      <c r="A44" s="158"/>
      <c r="B44" s="174"/>
      <c r="C44" s="159"/>
      <c r="D44" s="160"/>
      <c r="E44" s="111"/>
      <c r="F44" s="141"/>
      <c r="G44" s="189"/>
      <c r="H44" s="189"/>
      <c r="I44" s="189"/>
      <c r="J44" s="124"/>
    </row>
    <row r="45" spans="1:12" s="107" customFormat="1" ht="15.75">
      <c r="A45" s="101">
        <v>3</v>
      </c>
      <c r="B45" s="170"/>
      <c r="C45" s="171" t="s">
        <v>133</v>
      </c>
      <c r="D45" s="172"/>
      <c r="E45" s="173"/>
      <c r="F45" s="104"/>
      <c r="G45" s="188">
        <f>89686.16/K7</f>
        <v>2109.27</v>
      </c>
      <c r="H45" s="188">
        <f>16143.53/K7</f>
        <v>379.67</v>
      </c>
      <c r="I45" s="188">
        <f>105829.69/K7</f>
        <v>2488.94</v>
      </c>
      <c r="J45" s="124"/>
    </row>
    <row r="46" spans="1:12" s="107" customFormat="1" ht="15.75">
      <c r="A46" s="158"/>
      <c r="B46" s="174"/>
      <c r="C46" s="159"/>
      <c r="D46" s="160"/>
      <c r="E46" s="111"/>
      <c r="F46" s="141"/>
      <c r="G46" s="189"/>
      <c r="H46" s="189"/>
      <c r="I46" s="189"/>
      <c r="J46" s="124"/>
    </row>
    <row r="47" spans="1:12" s="107" customFormat="1" ht="15.75">
      <c r="A47" s="101">
        <v>4</v>
      </c>
      <c r="B47" s="170"/>
      <c r="C47" s="171" t="s">
        <v>134</v>
      </c>
      <c r="D47" s="172"/>
      <c r="E47" s="173"/>
      <c r="F47" s="104"/>
      <c r="G47" s="188">
        <f>29356.04/K7</f>
        <v>690.41</v>
      </c>
      <c r="H47" s="188">
        <f>5284.09/K7</f>
        <v>124.27</v>
      </c>
      <c r="I47" s="188">
        <f>34640.13/K7</f>
        <v>814.68</v>
      </c>
      <c r="J47" s="124"/>
    </row>
    <row r="48" spans="1:12" s="107" customFormat="1" ht="15.75">
      <c r="A48" s="158"/>
      <c r="B48" s="174"/>
      <c r="C48" s="159"/>
      <c r="D48" s="160"/>
      <c r="E48" s="111"/>
      <c r="F48" s="141"/>
      <c r="G48" s="189"/>
      <c r="H48" s="189"/>
      <c r="I48" s="189"/>
      <c r="J48" s="124"/>
    </row>
    <row r="49" spans="1:10" s="107" customFormat="1" ht="15.75">
      <c r="A49" s="101">
        <v>5</v>
      </c>
      <c r="B49" s="170"/>
      <c r="C49" s="171" t="s">
        <v>135</v>
      </c>
      <c r="D49" s="172"/>
      <c r="E49" s="173"/>
      <c r="F49" s="104"/>
      <c r="G49" s="188">
        <f>20357.9/K7</f>
        <v>478.78</v>
      </c>
      <c r="H49" s="188">
        <f>3664.42/K7</f>
        <v>86.18</v>
      </c>
      <c r="I49" s="188">
        <f>24022.32/K7</f>
        <v>564.97</v>
      </c>
      <c r="J49" s="124"/>
    </row>
    <row r="50" spans="1:10" s="107" customFormat="1" ht="15.75">
      <c r="A50" s="158"/>
      <c r="B50" s="174"/>
      <c r="C50" s="159"/>
      <c r="D50" s="160"/>
      <c r="E50" s="111"/>
      <c r="F50" s="141"/>
      <c r="G50" s="189"/>
      <c r="H50" s="189"/>
      <c r="I50" s="189"/>
      <c r="J50" s="124"/>
    </row>
    <row r="51" spans="1:10" s="107" customFormat="1" ht="15.75">
      <c r="A51" s="101">
        <v>6</v>
      </c>
      <c r="B51" s="170"/>
      <c r="C51" s="171" t="s">
        <v>136</v>
      </c>
      <c r="D51" s="172"/>
      <c r="E51" s="173"/>
      <c r="F51" s="104"/>
      <c r="G51" s="188">
        <f>15364.41/K7</f>
        <v>361.35</v>
      </c>
      <c r="H51" s="188">
        <f>2765.59/K7</f>
        <v>65.040000000000006</v>
      </c>
      <c r="I51" s="188">
        <f>18130/K7</f>
        <v>426.39</v>
      </c>
      <c r="J51" s="124"/>
    </row>
    <row r="52" spans="1:10" s="107" customFormat="1" ht="15.75">
      <c r="A52" s="158"/>
      <c r="B52" s="174"/>
      <c r="C52" s="159"/>
      <c r="D52" s="160"/>
      <c r="E52" s="111"/>
      <c r="F52" s="141"/>
      <c r="G52" s="189"/>
      <c r="H52" s="189"/>
      <c r="I52" s="189"/>
      <c r="J52" s="124"/>
    </row>
    <row r="53" spans="1:10" s="107" customFormat="1" ht="15.75">
      <c r="A53" s="101">
        <v>7</v>
      </c>
      <c r="B53" s="170"/>
      <c r="C53" s="171" t="s">
        <v>137</v>
      </c>
      <c r="D53" s="172"/>
      <c r="E53" s="173"/>
      <c r="F53" s="104"/>
      <c r="G53" s="188">
        <f>38037.09/K7</f>
        <v>894.57</v>
      </c>
      <c r="H53" s="188">
        <f>6846.68/K7</f>
        <v>161.02000000000001</v>
      </c>
      <c r="I53" s="188">
        <f>44883.77/K7</f>
        <v>1055.5899999999999</v>
      </c>
      <c r="J53" s="124"/>
    </row>
    <row r="54" spans="1:10" s="107" customFormat="1" ht="15.75">
      <c r="A54" s="158"/>
      <c r="B54" s="174"/>
      <c r="C54" s="159"/>
      <c r="D54" s="160"/>
      <c r="E54" s="111"/>
      <c r="F54" s="141"/>
      <c r="G54" s="189"/>
      <c r="H54" s="189"/>
      <c r="I54" s="189"/>
      <c r="J54" s="124"/>
    </row>
    <row r="55" spans="1:10" s="107" customFormat="1" ht="15.75">
      <c r="A55" s="101">
        <v>8</v>
      </c>
      <c r="B55" s="170"/>
      <c r="C55" s="171" t="s">
        <v>138</v>
      </c>
      <c r="D55" s="172"/>
      <c r="E55" s="173"/>
      <c r="F55" s="104"/>
      <c r="G55" s="188">
        <f>29518/K7</f>
        <v>694.21</v>
      </c>
      <c r="H55" s="188">
        <f>4980.24/K7</f>
        <v>117.13</v>
      </c>
      <c r="I55" s="188">
        <f>34498.24/K7</f>
        <v>811.34</v>
      </c>
      <c r="J55" s="124"/>
    </row>
    <row r="56" spans="1:10" s="107" customFormat="1" ht="15.75">
      <c r="A56" s="158"/>
      <c r="B56" s="174"/>
      <c r="C56" s="159"/>
      <c r="D56" s="160"/>
      <c r="E56" s="111"/>
      <c r="F56" s="141"/>
      <c r="G56" s="189"/>
      <c r="H56" s="189"/>
      <c r="I56" s="189"/>
      <c r="J56" s="124"/>
    </row>
    <row r="57" spans="1:10" s="107" customFormat="1" ht="15.75">
      <c r="A57" s="101">
        <v>9</v>
      </c>
      <c r="B57" s="170"/>
      <c r="C57" s="171" t="s">
        <v>149</v>
      </c>
      <c r="D57" s="172"/>
      <c r="E57" s="173"/>
      <c r="F57" s="104"/>
      <c r="G57" s="188">
        <f>475145.89/K7</f>
        <v>11174.64</v>
      </c>
      <c r="H57" s="188">
        <f>85526.26/K7</f>
        <v>2011.44</v>
      </c>
      <c r="I57" s="188">
        <f>560672.15/K7</f>
        <v>13186.08</v>
      </c>
      <c r="J57" s="124"/>
    </row>
    <row r="58" spans="1:10" s="107" customFormat="1" ht="15.75">
      <c r="A58" s="158"/>
      <c r="B58" s="174"/>
      <c r="C58" s="159"/>
      <c r="D58" s="160"/>
      <c r="E58" s="111"/>
      <c r="F58" s="141"/>
      <c r="G58" s="189"/>
      <c r="H58" s="189"/>
      <c r="I58" s="189"/>
      <c r="J58" s="124"/>
    </row>
    <row r="59" spans="1:10" s="107" customFormat="1" ht="15.75">
      <c r="A59" s="101">
        <v>10</v>
      </c>
      <c r="B59" s="170"/>
      <c r="C59" s="171" t="s">
        <v>139</v>
      </c>
      <c r="D59" s="172"/>
      <c r="E59" s="173"/>
      <c r="F59" s="104"/>
      <c r="G59" s="188">
        <f>21950/K7</f>
        <v>516.23</v>
      </c>
      <c r="H59" s="188">
        <f>3951/K7</f>
        <v>92.92</v>
      </c>
      <c r="I59" s="188">
        <f>25901/K7</f>
        <v>609.15</v>
      </c>
      <c r="J59" s="124"/>
    </row>
    <row r="60" spans="1:10" s="107" customFormat="1" ht="15.75">
      <c r="A60" s="158"/>
      <c r="B60" s="174"/>
      <c r="C60" s="159"/>
      <c r="D60" s="160"/>
      <c r="E60" s="111"/>
      <c r="F60" s="141"/>
      <c r="G60" s="189"/>
      <c r="H60" s="189"/>
      <c r="I60" s="189"/>
      <c r="J60" s="124"/>
    </row>
    <row r="61" spans="1:10" s="107" customFormat="1" ht="15.75">
      <c r="A61" s="101">
        <v>11</v>
      </c>
      <c r="B61" s="170"/>
      <c r="C61" s="171" t="s">
        <v>140</v>
      </c>
      <c r="D61" s="172"/>
      <c r="E61" s="173"/>
      <c r="F61" s="104"/>
      <c r="G61" s="188">
        <f>71912.35/K7</f>
        <v>1691.26</v>
      </c>
      <c r="H61" s="188">
        <f>5744.22/K7</f>
        <v>135.09</v>
      </c>
      <c r="I61" s="188">
        <f>77656.57/K7</f>
        <v>1826.35</v>
      </c>
      <c r="J61" s="124"/>
    </row>
    <row r="62" spans="1:10" s="107" customFormat="1" ht="15.75">
      <c r="A62" s="158"/>
      <c r="B62" s="174"/>
      <c r="C62" s="159"/>
      <c r="D62" s="160"/>
      <c r="E62" s="111"/>
      <c r="F62" s="141"/>
      <c r="G62" s="189"/>
      <c r="H62" s="189"/>
      <c r="I62" s="189"/>
      <c r="J62" s="178"/>
    </row>
    <row r="63" spans="1:10" s="107" customFormat="1" ht="15.75">
      <c r="A63" s="101" t="s">
        <v>90</v>
      </c>
      <c r="B63" s="170"/>
      <c r="C63" s="171" t="s">
        <v>147</v>
      </c>
      <c r="D63" s="172"/>
      <c r="E63" s="173"/>
      <c r="F63" s="104"/>
      <c r="G63" s="188">
        <f>SUBTOTAL(9,G64:G64)</f>
        <v>2800.84</v>
      </c>
      <c r="H63" s="188">
        <f>SUBTOTAL(9,H64:H64)</f>
        <v>461.82</v>
      </c>
      <c r="I63" s="188">
        <f>SUBTOTAL(9,I64:I64)</f>
        <v>3262.65</v>
      </c>
      <c r="J63" s="183"/>
    </row>
    <row r="64" spans="1:10" s="107" customFormat="1" ht="15.75">
      <c r="A64" s="101">
        <v>1</v>
      </c>
      <c r="B64" s="170"/>
      <c r="C64" s="171" t="s">
        <v>136</v>
      </c>
      <c r="D64" s="172"/>
      <c r="E64" s="173"/>
      <c r="F64" s="104"/>
      <c r="G64" s="188">
        <f>119091.54/K7</f>
        <v>2800.84</v>
      </c>
      <c r="H64" s="188">
        <f>19636.48/K7</f>
        <v>461.82</v>
      </c>
      <c r="I64" s="188">
        <f>138728.02/K7</f>
        <v>3262.65</v>
      </c>
      <c r="J64" s="183"/>
    </row>
    <row r="65" spans="1:13" s="107" customFormat="1" ht="15.75">
      <c r="A65" s="158"/>
      <c r="B65" s="174"/>
      <c r="C65" s="159"/>
      <c r="D65" s="187"/>
      <c r="E65" s="111"/>
      <c r="F65" s="141"/>
      <c r="G65" s="189"/>
      <c r="H65" s="189"/>
      <c r="I65" s="189"/>
      <c r="J65" s="183"/>
    </row>
    <row r="66" spans="1:13" s="107" customFormat="1" ht="15.75">
      <c r="A66" s="181"/>
      <c r="B66" s="182"/>
      <c r="C66" s="182"/>
      <c r="D66" s="181" t="s">
        <v>142</v>
      </c>
      <c r="E66" s="182"/>
      <c r="F66" s="182"/>
      <c r="G66" s="188">
        <f>SUBTOTAL(9,G15:G64)</f>
        <v>40742.94</v>
      </c>
      <c r="H66" s="188">
        <f t="shared" ref="H66:I66" si="2">SUBTOTAL(9,H15:H64)</f>
        <v>6432.26</v>
      </c>
      <c r="I66" s="188">
        <f t="shared" si="2"/>
        <v>47175.18</v>
      </c>
      <c r="J66" s="124"/>
    </row>
    <row r="67" spans="1:13" s="107" customFormat="1" ht="15.75">
      <c r="A67" s="175"/>
      <c r="B67" s="176"/>
      <c r="C67" s="71"/>
      <c r="D67" s="72"/>
      <c r="E67" s="72"/>
      <c r="F67" s="73"/>
      <c r="G67" s="74"/>
      <c r="H67" s="74"/>
      <c r="I67" s="169"/>
      <c r="J67" s="124"/>
    </row>
    <row r="68" spans="1:13" s="107" customFormat="1" ht="15.75">
      <c r="A68" s="123"/>
      <c r="B68" s="177"/>
      <c r="C68" s="69" t="s">
        <v>143</v>
      </c>
      <c r="D68" s="72"/>
      <c r="E68" s="223">
        <v>0.2</v>
      </c>
      <c r="F68" s="73"/>
      <c r="G68" s="74"/>
      <c r="H68" s="75"/>
      <c r="I68" s="76"/>
      <c r="J68" s="124"/>
    </row>
    <row r="69" spans="1:13" s="107" customFormat="1" ht="16.5" thickBot="1">
      <c r="A69" s="194"/>
      <c r="B69" s="195"/>
      <c r="C69" s="196"/>
      <c r="D69" s="197"/>
      <c r="E69" s="198"/>
      <c r="F69" s="199"/>
      <c r="G69" s="200"/>
      <c r="H69" s="200"/>
      <c r="I69" s="201"/>
      <c r="J69" s="124"/>
    </row>
    <row r="70" spans="1:13" s="107" customFormat="1" ht="16.5" thickBot="1">
      <c r="A70" s="202"/>
      <c r="B70" s="203"/>
      <c r="C70" s="203"/>
      <c r="D70" s="203"/>
      <c r="E70" s="203"/>
      <c r="F70" s="202" t="s">
        <v>144</v>
      </c>
      <c r="G70" s="204"/>
      <c r="H70" s="204"/>
      <c r="I70" s="193">
        <f>(322659.55+23818.31)/K7</f>
        <v>8148.59</v>
      </c>
      <c r="J70" s="124"/>
    </row>
    <row r="71" spans="1:13" s="107" customFormat="1" ht="15.75">
      <c r="A71" s="97"/>
      <c r="B71" s="61"/>
      <c r="C71" s="179"/>
      <c r="D71" s="179"/>
      <c r="E71" s="179"/>
      <c r="F71" s="179"/>
      <c r="G71" s="80"/>
      <c r="H71" s="80"/>
      <c r="I71" s="77"/>
      <c r="J71" s="124"/>
    </row>
    <row r="72" spans="1:13" s="107" customFormat="1" ht="15.6" customHeight="1">
      <c r="A72" s="97"/>
      <c r="B72" s="61"/>
      <c r="C72" s="53" t="s">
        <v>146</v>
      </c>
      <c r="D72" s="179"/>
      <c r="E72" s="179"/>
      <c r="F72" s="179"/>
      <c r="G72" s="80"/>
      <c r="H72" s="80"/>
      <c r="I72" s="189">
        <f>+(I70+I66)*18%*10%</f>
        <v>995.83</v>
      </c>
      <c r="J72" s="124"/>
    </row>
    <row r="73" spans="1:13" ht="15.75" thickBot="1">
      <c r="A73" s="97"/>
      <c r="B73" s="61"/>
      <c r="C73" s="98"/>
      <c r="D73" s="53"/>
      <c r="E73" s="53"/>
      <c r="F73" s="58"/>
      <c r="G73" s="80"/>
      <c r="H73" s="80"/>
      <c r="I73" s="67"/>
    </row>
    <row r="74" spans="1:13" ht="15.75" thickBot="1">
      <c r="A74" s="184"/>
      <c r="B74" s="185"/>
      <c r="C74" s="185"/>
      <c r="D74" s="185"/>
      <c r="E74" s="185"/>
      <c r="F74" s="185"/>
      <c r="G74" s="184" t="s">
        <v>145</v>
      </c>
      <c r="H74" s="78"/>
      <c r="I74" s="193">
        <f>+I66+I70+I72</f>
        <v>56319.6</v>
      </c>
      <c r="J74" s="154"/>
      <c r="K74" s="143"/>
    </row>
    <row r="76" spans="1:13">
      <c r="C76" s="186"/>
    </row>
    <row r="77" spans="1:13" s="107" customFormat="1" ht="15.75">
      <c r="A77" s="101" t="s">
        <v>91</v>
      </c>
      <c r="B77" s="170"/>
      <c r="C77" s="171" t="s">
        <v>168</v>
      </c>
      <c r="D77" s="172"/>
      <c r="E77" s="173"/>
      <c r="F77" s="104"/>
      <c r="G77" s="206"/>
      <c r="H77" s="206"/>
      <c r="I77" s="207"/>
      <c r="J77" s="186"/>
      <c r="K77" s="237"/>
      <c r="L77" s="238"/>
      <c r="M77" s="238"/>
    </row>
    <row r="78" spans="1:13" s="107" customFormat="1" ht="15.75">
      <c r="A78" s="158">
        <v>0.01</v>
      </c>
      <c r="B78" s="174"/>
      <c r="C78" s="218" t="s">
        <v>156</v>
      </c>
      <c r="D78" s="160" t="s">
        <v>151</v>
      </c>
      <c r="E78" s="111">
        <v>9</v>
      </c>
      <c r="F78" s="231">
        <f>3450/42.52</f>
        <v>81.14</v>
      </c>
      <c r="G78" s="112">
        <f t="shared" ref="G78:G86" si="3">IF(E78="","",(ROUND(F78*E78,2)))</f>
        <v>730.26</v>
      </c>
      <c r="H78" s="141">
        <f>IF(F78="","",(ROUND(G78*0.18,2)))</f>
        <v>131.44999999999999</v>
      </c>
      <c r="I78" s="113">
        <f t="shared" ref="I78:I85" si="4">IF(F78="","",(ROUND(G78+H78,2)))</f>
        <v>861.71</v>
      </c>
      <c r="J78" s="186"/>
      <c r="K78" s="237"/>
      <c r="L78" s="238"/>
      <c r="M78" s="238"/>
    </row>
    <row r="79" spans="1:13" s="107" customFormat="1" ht="15.75">
      <c r="A79" s="158">
        <f t="shared" ref="A79:A85" si="5">+A78+0.01</f>
        <v>0.02</v>
      </c>
      <c r="B79" s="174"/>
      <c r="C79" s="218" t="s">
        <v>157</v>
      </c>
      <c r="D79" s="160" t="s">
        <v>151</v>
      </c>
      <c r="E79" s="111">
        <v>4</v>
      </c>
      <c r="F79" s="231">
        <f>1200/42.52</f>
        <v>28.22</v>
      </c>
      <c r="G79" s="112">
        <f t="shared" si="3"/>
        <v>112.88</v>
      </c>
      <c r="H79" s="141">
        <f>IF(F79="","",(ROUND(G79*0.18,2)))</f>
        <v>20.32</v>
      </c>
      <c r="I79" s="113">
        <f t="shared" si="4"/>
        <v>133.19999999999999</v>
      </c>
      <c r="J79" s="186"/>
      <c r="K79" s="237"/>
      <c r="L79" s="238"/>
      <c r="M79" s="238"/>
    </row>
    <row r="80" spans="1:13" s="107" customFormat="1" ht="15.75">
      <c r="A80" s="158">
        <v>0.03</v>
      </c>
      <c r="B80" s="174"/>
      <c r="C80" s="218" t="s">
        <v>158</v>
      </c>
      <c r="D80" s="160" t="s">
        <v>151</v>
      </c>
      <c r="E80" s="111">
        <v>2</v>
      </c>
      <c r="F80" s="231">
        <f>4090/42.52</f>
        <v>96.19</v>
      </c>
      <c r="G80" s="112">
        <f t="shared" ref="G80:G82" si="6">IF(E80="","",(ROUND(F80*E80,2)))</f>
        <v>192.38</v>
      </c>
      <c r="H80" s="141">
        <f t="shared" ref="H80:H85" si="7">IF(F80="","",(ROUND(G80*0.18,2)))</f>
        <v>34.630000000000003</v>
      </c>
      <c r="I80" s="113">
        <f t="shared" ref="I80:I82" si="8">IF(F80="","",(ROUND(G80+H80,2)))</f>
        <v>227.01</v>
      </c>
      <c r="J80" s="186"/>
      <c r="K80" s="237"/>
      <c r="L80" s="238"/>
      <c r="M80" s="238"/>
    </row>
    <row r="81" spans="1:36" s="107" customFormat="1" ht="15.75">
      <c r="A81" s="158">
        <f t="shared" si="5"/>
        <v>0.04</v>
      </c>
      <c r="B81" s="174"/>
      <c r="C81" s="218" t="s">
        <v>159</v>
      </c>
      <c r="D81" s="160" t="s">
        <v>151</v>
      </c>
      <c r="E81" s="111">
        <v>1</v>
      </c>
      <c r="F81" s="231">
        <f>4108/42.52</f>
        <v>96.61</v>
      </c>
      <c r="G81" s="112">
        <f t="shared" si="6"/>
        <v>96.61</v>
      </c>
      <c r="H81" s="141">
        <f t="shared" si="7"/>
        <v>17.39</v>
      </c>
      <c r="I81" s="113">
        <f t="shared" si="8"/>
        <v>114</v>
      </c>
      <c r="J81" s="186"/>
      <c r="K81" s="237"/>
      <c r="L81" s="238"/>
      <c r="M81" s="238"/>
    </row>
    <row r="82" spans="1:36" s="107" customFormat="1" ht="15.75">
      <c r="A82" s="158">
        <f t="shared" si="5"/>
        <v>0.05</v>
      </c>
      <c r="B82" s="174"/>
      <c r="C82" s="218" t="s">
        <v>160</v>
      </c>
      <c r="D82" s="160" t="s">
        <v>151</v>
      </c>
      <c r="E82" s="111">
        <v>1</v>
      </c>
      <c r="F82" s="231">
        <f>3690/42.52</f>
        <v>86.78</v>
      </c>
      <c r="G82" s="112">
        <f t="shared" si="6"/>
        <v>86.78</v>
      </c>
      <c r="H82" s="141">
        <f t="shared" si="7"/>
        <v>15.62</v>
      </c>
      <c r="I82" s="113">
        <f t="shared" si="8"/>
        <v>102.4</v>
      </c>
      <c r="J82" s="186"/>
      <c r="K82" s="237"/>
      <c r="L82" s="238"/>
      <c r="M82" s="238"/>
    </row>
    <row r="83" spans="1:36" s="107" customFormat="1" ht="15.75">
      <c r="A83" s="216">
        <f t="shared" si="5"/>
        <v>0.06</v>
      </c>
      <c r="B83" s="217"/>
      <c r="C83" s="218" t="s">
        <v>161</v>
      </c>
      <c r="D83" s="219" t="s">
        <v>151</v>
      </c>
      <c r="E83" s="220">
        <v>2</v>
      </c>
      <c r="F83" s="232">
        <f>10000/42.52</f>
        <v>235.18</v>
      </c>
      <c r="G83" s="221">
        <f t="shared" si="3"/>
        <v>470.36</v>
      </c>
      <c r="H83" s="221">
        <f t="shared" si="7"/>
        <v>84.66</v>
      </c>
      <c r="I83" s="222">
        <f t="shared" si="4"/>
        <v>555.02</v>
      </c>
      <c r="J83" s="186"/>
      <c r="K83" s="237"/>
      <c r="L83" s="238"/>
      <c r="M83" s="238"/>
    </row>
    <row r="84" spans="1:36" s="107" customFormat="1" ht="15.75">
      <c r="A84" s="208">
        <f t="shared" si="5"/>
        <v>7.0000000000000007E-2</v>
      </c>
      <c r="B84" s="209"/>
      <c r="C84" s="236" t="s">
        <v>163</v>
      </c>
      <c r="D84" s="160" t="s">
        <v>151</v>
      </c>
      <c r="E84" s="211">
        <v>1</v>
      </c>
      <c r="F84" s="230">
        <f>3213/42.52</f>
        <v>75.56</v>
      </c>
      <c r="G84" s="212">
        <f t="shared" si="3"/>
        <v>75.56</v>
      </c>
      <c r="H84" s="141">
        <f t="shared" si="7"/>
        <v>13.6</v>
      </c>
      <c r="I84" s="213">
        <f t="shared" si="4"/>
        <v>89.16</v>
      </c>
      <c r="J84" s="186"/>
      <c r="K84" s="237"/>
      <c r="L84" s="238"/>
      <c r="M84" s="238"/>
    </row>
    <row r="85" spans="1:36" s="107" customFormat="1" ht="15.75">
      <c r="A85" s="208">
        <f t="shared" si="5"/>
        <v>0.08</v>
      </c>
      <c r="B85" s="209"/>
      <c r="C85" s="236" t="s">
        <v>162</v>
      </c>
      <c r="D85" s="160" t="s">
        <v>151</v>
      </c>
      <c r="E85" s="211">
        <v>1</v>
      </c>
      <c r="F85" s="230">
        <f>6906.63/42.52</f>
        <v>162.43</v>
      </c>
      <c r="G85" s="112">
        <f>IF(E85="","",(ROUND(F85*E85,2)))</f>
        <v>162.43</v>
      </c>
      <c r="H85" s="141">
        <f t="shared" si="7"/>
        <v>29.24</v>
      </c>
      <c r="I85" s="112">
        <f t="shared" si="4"/>
        <v>191.67</v>
      </c>
      <c r="J85" s="186"/>
    </row>
    <row r="86" spans="1:36" s="107" customFormat="1" ht="15.75">
      <c r="A86" s="208">
        <v>0.09</v>
      </c>
      <c r="B86" s="209"/>
      <c r="C86" s="210" t="s">
        <v>183</v>
      </c>
      <c r="D86" s="228" t="s">
        <v>151</v>
      </c>
      <c r="E86" s="211">
        <v>1</v>
      </c>
      <c r="F86" s="233">
        <v>698</v>
      </c>
      <c r="G86" s="112">
        <f t="shared" si="3"/>
        <v>698</v>
      </c>
      <c r="H86" s="141">
        <f>+G86*0.18</f>
        <v>125.64</v>
      </c>
      <c r="I86" s="112">
        <f>+G86+H86</f>
        <v>823.64</v>
      </c>
      <c r="J86" s="205"/>
    </row>
    <row r="87" spans="1:36" s="107" customFormat="1" ht="15.75">
      <c r="A87" s="208">
        <v>0.1</v>
      </c>
      <c r="B87" s="209"/>
      <c r="C87" s="218" t="s">
        <v>153</v>
      </c>
      <c r="D87" s="228" t="s">
        <v>151</v>
      </c>
      <c r="E87" s="211">
        <v>20</v>
      </c>
      <c r="F87" s="233">
        <v>1000</v>
      </c>
      <c r="G87" s="119">
        <v>20000</v>
      </c>
      <c r="H87" s="229">
        <v>3600</v>
      </c>
      <c r="I87" s="120">
        <v>23600</v>
      </c>
      <c r="J87" s="227"/>
    </row>
    <row r="88" spans="1:36" s="215" customFormat="1" ht="16.5" thickBot="1">
      <c r="A88" s="275"/>
      <c r="B88" s="276"/>
      <c r="C88" s="276"/>
      <c r="D88" s="276"/>
      <c r="E88" s="276"/>
      <c r="F88" s="276"/>
      <c r="G88" s="234"/>
      <c r="H88" s="234"/>
      <c r="I88" s="235">
        <f>SUM(I78:I87)</f>
        <v>26697.81</v>
      </c>
      <c r="J88" s="240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>
      <c r="C89" s="186"/>
      <c r="K89" s="242"/>
      <c r="L89" s="242"/>
      <c r="M89" s="242"/>
      <c r="N89" s="242"/>
      <c r="O89" s="242"/>
    </row>
    <row r="90" spans="1:36">
      <c r="C90" s="186"/>
    </row>
    <row r="91" spans="1:36" ht="15.75">
      <c r="A91" s="101" t="s">
        <v>92</v>
      </c>
      <c r="B91" s="170"/>
      <c r="C91" s="171" t="s">
        <v>154</v>
      </c>
      <c r="D91" s="172"/>
      <c r="E91" s="173"/>
      <c r="F91" s="104"/>
      <c r="G91" s="206"/>
      <c r="H91" s="206"/>
      <c r="I91" s="207"/>
    </row>
    <row r="92" spans="1:36">
      <c r="A92" s="158">
        <v>0.01</v>
      </c>
      <c r="B92" s="174"/>
      <c r="C92" s="218" t="s">
        <v>164</v>
      </c>
      <c r="D92" s="160" t="s">
        <v>151</v>
      </c>
      <c r="E92" s="111">
        <v>1</v>
      </c>
      <c r="F92" s="224">
        <v>5901.7</v>
      </c>
      <c r="G92" s="112">
        <f t="shared" ref="G92" si="9">IF(E92="","",(ROUND(F92*E92,2)))</f>
        <v>5901.7</v>
      </c>
      <c r="H92" s="141">
        <f>IF(F92="","",(ROUND(G92*0.18,2)))</f>
        <v>1062.31</v>
      </c>
      <c r="I92" s="113">
        <f t="shared" ref="I92" si="10">IF(F92="","",(ROUND(G92+H92,2)))</f>
        <v>6964.01</v>
      </c>
    </row>
    <row r="93" spans="1:36" ht="15.75" thickBot="1">
      <c r="A93" s="158"/>
      <c r="B93" s="174"/>
      <c r="C93" s="218"/>
      <c r="D93" s="160"/>
      <c r="E93" s="111"/>
      <c r="F93" s="224"/>
      <c r="G93" s="112"/>
      <c r="H93" s="141"/>
      <c r="I93" s="113"/>
    </row>
    <row r="94" spans="1:36" ht="15.75" thickBot="1">
      <c r="A94" s="275"/>
      <c r="B94" s="276"/>
      <c r="C94" s="276"/>
      <c r="D94" s="276"/>
      <c r="E94" s="276"/>
      <c r="F94" s="276"/>
      <c r="G94" s="214"/>
      <c r="H94" s="214"/>
      <c r="I94" s="225">
        <v>6964.01</v>
      </c>
    </row>
    <row r="95" spans="1:36">
      <c r="C95" s="186"/>
    </row>
    <row r="97" spans="1:11" ht="15.75">
      <c r="A97" s="101" t="s">
        <v>93</v>
      </c>
      <c r="B97" s="170"/>
      <c r="C97" s="171" t="s">
        <v>165</v>
      </c>
      <c r="D97" s="172"/>
      <c r="E97" s="173"/>
      <c r="F97" s="104"/>
      <c r="G97" s="206"/>
      <c r="H97" s="206"/>
      <c r="I97" s="207"/>
    </row>
    <row r="98" spans="1:11">
      <c r="A98" s="158">
        <v>0.01</v>
      </c>
      <c r="B98" s="174"/>
      <c r="C98" s="239" t="s">
        <v>166</v>
      </c>
      <c r="D98" s="160" t="s">
        <v>151</v>
      </c>
      <c r="E98" s="111">
        <v>1</v>
      </c>
      <c r="F98" s="224">
        <v>3527.75</v>
      </c>
      <c r="G98" s="112">
        <f t="shared" ref="G98" si="11">IF(E98="","",(ROUND(F98*E98,2)))</f>
        <v>3527.75</v>
      </c>
      <c r="H98" s="141">
        <f>+G98*0.1</f>
        <v>352.78</v>
      </c>
      <c r="I98" s="113">
        <f t="shared" ref="I98" si="12">IF(F98="","",(ROUND(G98+H98,2)))</f>
        <v>3880.53</v>
      </c>
    </row>
    <row r="99" spans="1:11">
      <c r="A99" s="158">
        <v>0.02</v>
      </c>
      <c r="B99" s="174"/>
      <c r="C99" s="218" t="s">
        <v>182</v>
      </c>
      <c r="D99" s="160" t="s">
        <v>151</v>
      </c>
      <c r="E99" s="111">
        <v>400</v>
      </c>
      <c r="F99" s="231">
        <v>12.9</v>
      </c>
      <c r="G99" s="112">
        <v>12.9</v>
      </c>
      <c r="H99" s="141"/>
      <c r="I99" s="113">
        <f>+E99*F99</f>
        <v>5160</v>
      </c>
    </row>
    <row r="100" spans="1:11">
      <c r="A100" s="158">
        <v>0.03</v>
      </c>
      <c r="B100" s="174"/>
      <c r="C100" s="218" t="s">
        <v>176</v>
      </c>
      <c r="D100" s="160" t="s">
        <v>175</v>
      </c>
      <c r="E100" s="111">
        <v>200</v>
      </c>
      <c r="F100" s="231">
        <v>50</v>
      </c>
      <c r="G100" s="112">
        <v>50</v>
      </c>
      <c r="H100" s="141"/>
      <c r="I100" s="113">
        <f>+E100*F100</f>
        <v>10000</v>
      </c>
    </row>
    <row r="101" spans="1:11">
      <c r="A101" s="158">
        <v>0.04</v>
      </c>
      <c r="B101" s="174"/>
      <c r="C101" s="218" t="s">
        <v>184</v>
      </c>
      <c r="D101" s="160" t="s">
        <v>151</v>
      </c>
      <c r="E101" s="111">
        <v>200</v>
      </c>
      <c r="F101" s="224">
        <v>29.99</v>
      </c>
      <c r="G101" s="112">
        <v>29.99</v>
      </c>
      <c r="H101" s="141">
        <v>5.4</v>
      </c>
      <c r="I101" s="113">
        <v>7078</v>
      </c>
      <c r="K101" s="49">
        <f>+K100/42.52</f>
        <v>0</v>
      </c>
    </row>
    <row r="102" spans="1:11" ht="15.75" thickBot="1">
      <c r="A102" s="208">
        <v>0.05</v>
      </c>
      <c r="B102" s="209"/>
      <c r="C102" s="236" t="s">
        <v>186</v>
      </c>
      <c r="D102" s="228" t="s">
        <v>151</v>
      </c>
      <c r="E102" s="211">
        <v>2</v>
      </c>
      <c r="F102" s="284">
        <v>823.14</v>
      </c>
      <c r="G102" s="119">
        <v>823.14</v>
      </c>
      <c r="H102" s="229"/>
      <c r="I102" s="213">
        <v>16462.84</v>
      </c>
    </row>
    <row r="103" spans="1:11" ht="15.75" thickBot="1">
      <c r="A103" s="275"/>
      <c r="B103" s="276"/>
      <c r="C103" s="276"/>
      <c r="D103" s="276"/>
      <c r="E103" s="276"/>
      <c r="F103" s="276"/>
      <c r="G103" s="214"/>
      <c r="H103" s="214"/>
      <c r="I103" s="225">
        <f>SUM(I98:I102)</f>
        <v>42581.37</v>
      </c>
    </row>
    <row r="104" spans="1:11">
      <c r="C104" s="205"/>
    </row>
    <row r="106" spans="1:11" ht="15.75">
      <c r="A106" s="101" t="s">
        <v>155</v>
      </c>
      <c r="B106" s="170"/>
      <c r="C106" s="171" t="s">
        <v>169</v>
      </c>
      <c r="D106" s="172"/>
      <c r="E106" s="173"/>
      <c r="F106" s="104"/>
      <c r="G106" s="206"/>
      <c r="H106" s="206"/>
      <c r="I106" s="207"/>
    </row>
    <row r="107" spans="1:11">
      <c r="A107" s="158">
        <v>0.01</v>
      </c>
      <c r="B107" s="174"/>
      <c r="C107" s="239" t="s">
        <v>167</v>
      </c>
      <c r="D107" s="160" t="s">
        <v>151</v>
      </c>
      <c r="E107" s="111">
        <v>1</v>
      </c>
      <c r="F107" s="231">
        <v>5500</v>
      </c>
      <c r="G107" s="244">
        <f t="shared" ref="G107" si="13">IF(E107="","",(ROUND(F107*E107,2)))</f>
        <v>5500</v>
      </c>
      <c r="H107" s="141">
        <f>+G107*0.1</f>
        <v>550</v>
      </c>
      <c r="I107" s="113">
        <f t="shared" ref="I107" si="14">IF(F107="","",(ROUND(G107+H107,2)))</f>
        <v>6050</v>
      </c>
    </row>
    <row r="108" spans="1:11">
      <c r="A108" s="158">
        <v>0.02</v>
      </c>
      <c r="B108" s="174"/>
      <c r="C108" s="218" t="s">
        <v>177</v>
      </c>
      <c r="D108" s="160" t="s">
        <v>181</v>
      </c>
      <c r="E108" s="111">
        <v>192</v>
      </c>
      <c r="F108" s="231">
        <v>23.44</v>
      </c>
      <c r="G108" s="244">
        <v>23.44</v>
      </c>
      <c r="H108" s="141">
        <v>810</v>
      </c>
      <c r="I108" s="113">
        <f>+E108*F108+H108</f>
        <v>5310.48</v>
      </c>
    </row>
    <row r="109" spans="1:11" ht="20.25" customHeight="1">
      <c r="A109" s="208">
        <v>0.03</v>
      </c>
      <c r="B109" s="209"/>
      <c r="C109" s="236" t="s">
        <v>178</v>
      </c>
      <c r="D109" s="228" t="s">
        <v>151</v>
      </c>
      <c r="E109" s="211">
        <v>120</v>
      </c>
      <c r="F109" s="231">
        <v>11.66</v>
      </c>
      <c r="G109" s="244">
        <v>11.66</v>
      </c>
      <c r="H109" s="141"/>
      <c r="I109" s="113">
        <f>+E109*F109</f>
        <v>1399.2</v>
      </c>
    </row>
    <row r="110" spans="1:11">
      <c r="A110" s="208">
        <v>0.04</v>
      </c>
      <c r="B110" s="209"/>
      <c r="C110" s="236" t="s">
        <v>179</v>
      </c>
      <c r="D110" s="228" t="s">
        <v>180</v>
      </c>
      <c r="E110" s="211">
        <v>12</v>
      </c>
      <c r="F110" s="245">
        <v>110.75</v>
      </c>
      <c r="G110" s="246">
        <v>110.75</v>
      </c>
      <c r="H110" s="243"/>
      <c r="I110" s="122">
        <f>+E110*F110</f>
        <v>1329</v>
      </c>
    </row>
    <row r="111" spans="1:11" ht="45">
      <c r="A111" s="208">
        <v>0.05</v>
      </c>
      <c r="B111" s="209"/>
      <c r="C111" s="218" t="s">
        <v>185</v>
      </c>
      <c r="D111" s="160" t="s">
        <v>151</v>
      </c>
      <c r="E111" s="111">
        <v>1</v>
      </c>
      <c r="F111" s="231">
        <v>38320</v>
      </c>
      <c r="G111" s="244">
        <v>38320</v>
      </c>
      <c r="H111" s="141">
        <f>+G111*0.18</f>
        <v>6897.6</v>
      </c>
      <c r="I111" s="112">
        <f>+G111+H111</f>
        <v>45217.599999999999</v>
      </c>
    </row>
    <row r="112" spans="1:11">
      <c r="A112" s="208"/>
      <c r="B112" s="209"/>
      <c r="C112" s="218"/>
      <c r="D112" s="160"/>
      <c r="E112" s="111"/>
      <c r="F112" s="224"/>
      <c r="G112" s="112"/>
      <c r="H112" s="141"/>
      <c r="I112" s="112"/>
    </row>
    <row r="113" spans="1:9">
      <c r="A113" s="208"/>
      <c r="B113" s="209"/>
      <c r="C113" s="218"/>
      <c r="D113" s="160"/>
      <c r="E113" s="111"/>
      <c r="F113" s="224"/>
      <c r="G113" s="112"/>
      <c r="H113" s="141"/>
      <c r="I113" s="112"/>
    </row>
    <row r="114" spans="1:9" ht="15.75" thickBot="1">
      <c r="A114" s="275"/>
      <c r="B114" s="276"/>
      <c r="C114" s="277"/>
      <c r="D114" s="277"/>
      <c r="E114" s="277"/>
      <c r="F114" s="277"/>
      <c r="G114" s="234"/>
      <c r="H114" s="234"/>
      <c r="I114" s="235">
        <f>SUM(I107:I111)</f>
        <v>59306.28</v>
      </c>
    </row>
    <row r="115" spans="1:9" ht="15.75" thickBot="1">
      <c r="C115" s="205"/>
    </row>
    <row r="116" spans="1:9" ht="18" thickBot="1">
      <c r="A116" s="278" t="s">
        <v>170</v>
      </c>
      <c r="B116" s="279"/>
      <c r="C116" s="279"/>
      <c r="D116" s="279"/>
      <c r="E116" s="279"/>
      <c r="F116" s="279"/>
      <c r="G116" s="280"/>
      <c r="H116" s="78"/>
      <c r="I116" s="226">
        <f>+I114+I103+I94+I88+I74</f>
        <v>191869.07</v>
      </c>
    </row>
    <row r="119" spans="1:9">
      <c r="C119" s="240"/>
    </row>
  </sheetData>
  <mergeCells count="18">
    <mergeCell ref="A94:F94"/>
    <mergeCell ref="A103:F103"/>
    <mergeCell ref="A114:F114"/>
    <mergeCell ref="A116:G116"/>
    <mergeCell ref="A1:I1"/>
    <mergeCell ref="A4:I5"/>
    <mergeCell ref="A6:C6"/>
    <mergeCell ref="F8:H8"/>
    <mergeCell ref="A10:A11"/>
    <mergeCell ref="C10:C11"/>
    <mergeCell ref="A2:I2"/>
    <mergeCell ref="H10:H11"/>
    <mergeCell ref="I10:I11"/>
    <mergeCell ref="D10:D11"/>
    <mergeCell ref="E10:E11"/>
    <mergeCell ref="F10:F11"/>
    <mergeCell ref="G10:G11"/>
    <mergeCell ref="A88:F88"/>
  </mergeCells>
  <phoneticPr fontId="0" type="noConversion"/>
  <printOptions horizontalCentered="1"/>
  <pageMargins left="0.6692913385826772" right="0.35433070866141736" top="0.98425196850393704" bottom="1.0629921259842521" header="0.51181102362204722" footer="0.35433070866141736"/>
  <pageSetup scale="42" fitToWidth="7" fitToHeight="5" orientation="portrait" r:id="rId1"/>
  <headerFooter alignWithMargins="0">
    <oddHeader>&amp;L&amp;G&amp;R&amp;T</oddHeader>
    <oddFooter>&amp;LPreparado por: Dirección Administrativa de Proyectos&amp;R&amp;P de &amp;N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83"/>
  <sheetViews>
    <sheetView view="pageBreakPreview" zoomScale="75" zoomScaleNormal="75" workbookViewId="0">
      <selection activeCell="C21" sqref="C21"/>
    </sheetView>
  </sheetViews>
  <sheetFormatPr defaultColWidth="11.42578125" defaultRowHeight="12.75"/>
  <cols>
    <col min="1" max="1" width="11.42578125" customWidth="1"/>
    <col min="2" max="2" width="33.28515625" customWidth="1"/>
  </cols>
  <sheetData>
    <row r="4" spans="1:8" ht="20.25">
      <c r="A4" s="5" t="s">
        <v>11</v>
      </c>
      <c r="B4" s="8"/>
      <c r="C4" s="8"/>
      <c r="D4" s="9"/>
      <c r="E4" s="21"/>
      <c r="F4" s="24"/>
      <c r="G4" s="24"/>
    </row>
    <row r="5" spans="1:8">
      <c r="A5" s="16"/>
      <c r="B5" s="16"/>
      <c r="C5" s="17"/>
      <c r="D5" s="18"/>
      <c r="E5" s="19"/>
      <c r="F5" s="20"/>
      <c r="G5" s="18"/>
    </row>
    <row r="6" spans="1:8" ht="16.5" thickBot="1">
      <c r="A6" s="6" t="s">
        <v>21</v>
      </c>
      <c r="B6" s="7" t="s">
        <v>22</v>
      </c>
      <c r="C6" s="8"/>
      <c r="D6" s="9"/>
      <c r="E6" s="10" t="s">
        <v>23</v>
      </c>
      <c r="F6" s="283">
        <f>F9</f>
        <v>273</v>
      </c>
      <c r="G6" s="283"/>
    </row>
    <row r="7" spans="1:8" ht="13.5" thickBot="1">
      <c r="A7" s="12" t="s">
        <v>14</v>
      </c>
      <c r="B7" s="2" t="s">
        <v>15</v>
      </c>
      <c r="C7" s="3" t="s">
        <v>16</v>
      </c>
      <c r="D7" s="4" t="s">
        <v>17</v>
      </c>
      <c r="E7" s="13" t="s">
        <v>18</v>
      </c>
      <c r="F7" s="14" t="s">
        <v>19</v>
      </c>
      <c r="G7" s="15" t="s">
        <v>20</v>
      </c>
      <c r="H7" s="1"/>
    </row>
    <row r="8" spans="1:8">
      <c r="A8" s="16" t="s">
        <v>24</v>
      </c>
      <c r="B8" s="30" t="s">
        <v>25</v>
      </c>
      <c r="C8" s="17" t="s">
        <v>26</v>
      </c>
      <c r="D8" s="18">
        <v>273</v>
      </c>
      <c r="E8" s="31">
        <v>1</v>
      </c>
      <c r="F8" s="20">
        <v>1</v>
      </c>
      <c r="G8" s="18">
        <f>D8*E8*F8</f>
        <v>273</v>
      </c>
      <c r="H8" s="1"/>
    </row>
    <row r="9" spans="1:8" s="11" customFormat="1" ht="15.75">
      <c r="A9" s="8"/>
      <c r="B9" s="8"/>
      <c r="C9" s="8"/>
      <c r="D9" s="9"/>
      <c r="E9" s="21" t="str">
        <f>E6</f>
        <v>M3</v>
      </c>
      <c r="F9" s="282">
        <f>SUM(G8:G8)</f>
        <v>273</v>
      </c>
      <c r="G9" s="282"/>
      <c r="H9" s="27"/>
    </row>
    <row r="10" spans="1:8" s="11" customFormat="1" ht="15.75">
      <c r="A10"/>
      <c r="B10"/>
      <c r="C10"/>
      <c r="D10"/>
      <c r="E10"/>
      <c r="F10"/>
      <c r="G10"/>
      <c r="H10" s="27"/>
    </row>
    <row r="11" spans="1:8" s="11" customFormat="1" ht="16.5" thickBot="1">
      <c r="A11" s="6" t="s">
        <v>27</v>
      </c>
      <c r="B11" s="7" t="s">
        <v>28</v>
      </c>
      <c r="C11" s="8"/>
      <c r="D11" s="9"/>
      <c r="E11" s="10" t="s">
        <v>29</v>
      </c>
      <c r="F11" s="283">
        <f>F20</f>
        <v>142.58000000000001</v>
      </c>
      <c r="G11" s="283"/>
      <c r="H11" s="27"/>
    </row>
    <row r="12" spans="1:8" s="11" customFormat="1" ht="16.5" thickBot="1">
      <c r="A12" s="12" t="s">
        <v>14</v>
      </c>
      <c r="B12" s="2" t="s">
        <v>15</v>
      </c>
      <c r="C12" s="3" t="s">
        <v>16</v>
      </c>
      <c r="D12" s="4" t="s">
        <v>17</v>
      </c>
      <c r="E12" s="13" t="s">
        <v>18</v>
      </c>
      <c r="F12" s="14" t="s">
        <v>19</v>
      </c>
      <c r="G12" s="15" t="s">
        <v>20</v>
      </c>
      <c r="H12" s="27"/>
    </row>
    <row r="13" spans="1:8" s="11" customFormat="1" ht="15.75">
      <c r="A13" s="16" t="s">
        <v>30</v>
      </c>
      <c r="B13" s="16" t="s">
        <v>31</v>
      </c>
      <c r="C13" s="17" t="s">
        <v>26</v>
      </c>
      <c r="D13" s="18">
        <v>1785</v>
      </c>
      <c r="E13" s="32">
        <f>0.035*1.16</f>
        <v>4.1000000000000002E-2</v>
      </c>
      <c r="F13" s="20">
        <v>1</v>
      </c>
      <c r="G13" s="18">
        <f t="shared" ref="G13:G19" si="0">D13*E13*F13</f>
        <v>73.19</v>
      </c>
      <c r="H13" s="27"/>
    </row>
    <row r="14" spans="1:8" s="11" customFormat="1" ht="15.75">
      <c r="A14" s="16" t="s">
        <v>32</v>
      </c>
      <c r="B14" s="16" t="s">
        <v>33</v>
      </c>
      <c r="C14" s="17" t="s">
        <v>26</v>
      </c>
      <c r="D14" s="18">
        <v>650</v>
      </c>
      <c r="E14" s="32">
        <f>0.03*1.16</f>
        <v>3.5000000000000003E-2</v>
      </c>
      <c r="F14" s="20">
        <v>1</v>
      </c>
      <c r="G14" s="18">
        <f t="shared" si="0"/>
        <v>22.75</v>
      </c>
      <c r="H14" s="27"/>
    </row>
    <row r="15" spans="1:8" s="11" customFormat="1" ht="15.75">
      <c r="A15" s="16" t="s">
        <v>34</v>
      </c>
      <c r="B15" s="16" t="s">
        <v>35</v>
      </c>
      <c r="C15" s="17" t="s">
        <v>7</v>
      </c>
      <c r="D15" s="18">
        <v>5.5</v>
      </c>
      <c r="E15" s="32">
        <v>1.1599999999999999</v>
      </c>
      <c r="F15" s="20">
        <v>1</v>
      </c>
      <c r="G15" s="18">
        <f t="shared" si="0"/>
        <v>6.38</v>
      </c>
      <c r="H15" s="27"/>
    </row>
    <row r="16" spans="1:8" s="11" customFormat="1" ht="15.75">
      <c r="A16" s="16" t="s">
        <v>36</v>
      </c>
      <c r="B16" s="16" t="s">
        <v>37</v>
      </c>
      <c r="C16" s="17" t="s">
        <v>26</v>
      </c>
      <c r="D16" s="18">
        <v>50</v>
      </c>
      <c r="E16" s="32">
        <f>0.035*1.16</f>
        <v>4.1000000000000002E-2</v>
      </c>
      <c r="F16" s="20">
        <v>1</v>
      </c>
      <c r="G16" s="18">
        <f t="shared" si="0"/>
        <v>2.0499999999999998</v>
      </c>
      <c r="H16" s="27"/>
    </row>
    <row r="17" spans="1:8" s="11" customFormat="1" ht="15.75">
      <c r="A17" s="16" t="s">
        <v>38</v>
      </c>
      <c r="B17" s="16" t="s">
        <v>39</v>
      </c>
      <c r="C17" s="17" t="s">
        <v>26</v>
      </c>
      <c r="D17" s="18">
        <v>30</v>
      </c>
      <c r="E17" s="32">
        <f>0.035*1.16</f>
        <v>4.1000000000000002E-2</v>
      </c>
      <c r="F17" s="20">
        <v>1</v>
      </c>
      <c r="G17" s="18">
        <f t="shared" si="0"/>
        <v>1.23</v>
      </c>
      <c r="H17" s="27"/>
    </row>
    <row r="18" spans="1:8" s="11" customFormat="1" ht="15.75">
      <c r="A18" s="16" t="s">
        <v>40</v>
      </c>
      <c r="B18" s="16" t="s">
        <v>41</v>
      </c>
      <c r="C18" s="17" t="s">
        <v>42</v>
      </c>
      <c r="D18" s="18">
        <v>350</v>
      </c>
      <c r="E18" s="32">
        <f>0.065*1.16</f>
        <v>7.4999999999999997E-2</v>
      </c>
      <c r="F18" s="20">
        <v>1</v>
      </c>
      <c r="G18" s="18">
        <f t="shared" si="0"/>
        <v>26.25</v>
      </c>
      <c r="H18" s="27"/>
    </row>
    <row r="19" spans="1:8" s="11" customFormat="1" ht="15.75">
      <c r="A19" s="16" t="s">
        <v>43</v>
      </c>
      <c r="B19" s="16" t="s">
        <v>44</v>
      </c>
      <c r="C19" s="17" t="s">
        <v>42</v>
      </c>
      <c r="D19" s="18">
        <v>185</v>
      </c>
      <c r="E19" s="32">
        <f>0.05*1.16</f>
        <v>5.8000000000000003E-2</v>
      </c>
      <c r="F19" s="20">
        <v>1</v>
      </c>
      <c r="G19" s="18">
        <f t="shared" si="0"/>
        <v>10.73</v>
      </c>
      <c r="H19" s="27"/>
    </row>
    <row r="20" spans="1:8" s="11" customFormat="1" ht="15.75">
      <c r="A20" s="8"/>
      <c r="B20" s="8"/>
      <c r="C20" s="8"/>
      <c r="D20" s="9"/>
      <c r="E20" s="21" t="str">
        <f>E11</f>
        <v>M3S</v>
      </c>
      <c r="F20" s="282">
        <f>SUM(G13:G19)</f>
        <v>142.58000000000001</v>
      </c>
      <c r="G20" s="282"/>
      <c r="H20" s="27"/>
    </row>
    <row r="21" spans="1:8" s="11" customFormat="1" ht="15.75">
      <c r="A21"/>
      <c r="B21"/>
      <c r="C21"/>
      <c r="D21"/>
      <c r="E21"/>
      <c r="F21"/>
      <c r="G21"/>
      <c r="H21" s="27"/>
    </row>
    <row r="22" spans="1:8" s="11" customFormat="1" ht="16.5" thickBot="1">
      <c r="A22" s="6" t="s">
        <v>45</v>
      </c>
      <c r="B22" s="7" t="s">
        <v>46</v>
      </c>
      <c r="C22" s="8"/>
      <c r="D22" s="9"/>
      <c r="E22" s="10" t="s">
        <v>47</v>
      </c>
      <c r="F22" s="283">
        <f>F27</f>
        <v>69.81</v>
      </c>
      <c r="G22" s="283"/>
      <c r="H22" s="27"/>
    </row>
    <row r="23" spans="1:8" s="11" customFormat="1" ht="16.5" thickBot="1">
      <c r="A23" s="12" t="s">
        <v>14</v>
      </c>
      <c r="B23" s="2" t="s">
        <v>15</v>
      </c>
      <c r="C23" s="3" t="s">
        <v>16</v>
      </c>
      <c r="D23" s="4" t="s">
        <v>17</v>
      </c>
      <c r="E23" s="13" t="s">
        <v>18</v>
      </c>
      <c r="F23" s="14" t="s">
        <v>19</v>
      </c>
      <c r="G23" s="15" t="s">
        <v>20</v>
      </c>
      <c r="H23" s="27"/>
    </row>
    <row r="24" spans="1:8" s="11" customFormat="1" ht="15.75">
      <c r="A24" s="16" t="s">
        <v>48</v>
      </c>
      <c r="B24" s="16" t="s">
        <v>49</v>
      </c>
      <c r="C24" s="17" t="s">
        <v>26</v>
      </c>
      <c r="D24" s="18">
        <v>150</v>
      </c>
      <c r="E24" s="19">
        <v>1</v>
      </c>
      <c r="F24" s="20">
        <v>0.375</v>
      </c>
      <c r="G24" s="18">
        <f>D24*E24*F24</f>
        <v>56.25</v>
      </c>
      <c r="H24" s="27"/>
    </row>
    <row r="25" spans="1:8" s="11" customFormat="1" ht="15.75">
      <c r="A25" s="16" t="s">
        <v>50</v>
      </c>
      <c r="B25" s="16" t="s">
        <v>51</v>
      </c>
      <c r="C25" s="17" t="s">
        <v>52</v>
      </c>
      <c r="D25" s="18">
        <v>0.2</v>
      </c>
      <c r="E25" s="19">
        <v>1</v>
      </c>
      <c r="F25" s="20">
        <v>10</v>
      </c>
      <c r="G25" s="18">
        <f>D25*E25*F25</f>
        <v>2</v>
      </c>
      <c r="H25" s="27"/>
    </row>
    <row r="26" spans="1:8" s="11" customFormat="1" ht="15.75">
      <c r="A26" s="16" t="s">
        <v>43</v>
      </c>
      <c r="B26" s="16" t="s">
        <v>44</v>
      </c>
      <c r="C26" s="17" t="s">
        <v>42</v>
      </c>
      <c r="D26" s="18">
        <v>185</v>
      </c>
      <c r="E26" s="19">
        <v>1</v>
      </c>
      <c r="F26" s="20">
        <v>6.25E-2</v>
      </c>
      <c r="G26" s="18">
        <f>D26*E26*F26</f>
        <v>11.56</v>
      </c>
      <c r="H26" s="27"/>
    </row>
    <row r="27" spans="1:8" s="11" customFormat="1" ht="15.75">
      <c r="A27" s="8"/>
      <c r="B27" s="8"/>
      <c r="C27" s="8"/>
      <c r="D27" s="9"/>
      <c r="E27" s="21" t="str">
        <f>E22</f>
        <v>M3C</v>
      </c>
      <c r="F27" s="282">
        <f>SUM(G24:G26)</f>
        <v>69.81</v>
      </c>
      <c r="G27" s="282"/>
      <c r="H27" s="27"/>
    </row>
    <row r="28" spans="1:8" s="11" customFormat="1" ht="15.75">
      <c r="A28"/>
      <c r="B28"/>
      <c r="C28"/>
      <c r="D28"/>
      <c r="E28"/>
      <c r="F28"/>
      <c r="G28"/>
      <c r="H28" s="27"/>
    </row>
    <row r="29" spans="1:8" s="11" customFormat="1" ht="16.5" thickBot="1">
      <c r="A29" s="6" t="s">
        <v>53</v>
      </c>
      <c r="B29" s="7" t="s">
        <v>54</v>
      </c>
      <c r="C29" s="8"/>
      <c r="D29" s="9"/>
      <c r="E29" s="10" t="s">
        <v>47</v>
      </c>
      <c r="F29" s="283">
        <f>F36</f>
        <v>286</v>
      </c>
      <c r="G29" s="283"/>
      <c r="H29" s="27"/>
    </row>
    <row r="30" spans="1:8" s="11" customFormat="1" ht="16.5" thickBot="1">
      <c r="A30" s="12" t="s">
        <v>14</v>
      </c>
      <c r="B30" s="2" t="s">
        <v>15</v>
      </c>
      <c r="C30" s="3" t="s">
        <v>16</v>
      </c>
      <c r="D30" s="4" t="s">
        <v>17</v>
      </c>
      <c r="E30" s="13" t="s">
        <v>18</v>
      </c>
      <c r="F30" s="14" t="s">
        <v>19</v>
      </c>
      <c r="G30" s="15" t="s">
        <v>20</v>
      </c>
      <c r="H30" s="27"/>
    </row>
    <row r="31" spans="1:8" s="11" customFormat="1" ht="15.75">
      <c r="A31" s="16" t="s">
        <v>55</v>
      </c>
      <c r="B31" s="16" t="s">
        <v>56</v>
      </c>
      <c r="C31" s="17" t="s">
        <v>23</v>
      </c>
      <c r="D31" s="18">
        <v>145</v>
      </c>
      <c r="E31" s="19">
        <v>1.3</v>
      </c>
      <c r="F31" s="20">
        <v>1</v>
      </c>
      <c r="G31" s="18">
        <f>D31*E31*F31</f>
        <v>188.5</v>
      </c>
      <c r="H31" s="27"/>
    </row>
    <row r="32" spans="1:8" s="11" customFormat="1" ht="15.75">
      <c r="A32" s="16" t="s">
        <v>48</v>
      </c>
      <c r="B32" s="16" t="s">
        <v>49</v>
      </c>
      <c r="C32" s="17" t="s">
        <v>26</v>
      </c>
      <c r="D32" s="18">
        <v>150</v>
      </c>
      <c r="E32" s="19">
        <v>0.15</v>
      </c>
      <c r="F32" s="20">
        <v>1</v>
      </c>
      <c r="G32" s="18">
        <f>D32*E32*F32</f>
        <v>22.5</v>
      </c>
      <c r="H32" s="27"/>
    </row>
    <row r="33" spans="1:8" s="11" customFormat="1" ht="15.75">
      <c r="A33" s="16" t="s">
        <v>57</v>
      </c>
      <c r="B33" s="16" t="s">
        <v>58</v>
      </c>
      <c r="C33" s="17" t="s">
        <v>6</v>
      </c>
      <c r="D33" s="18">
        <v>175</v>
      </c>
      <c r="E33" s="19">
        <v>0.25</v>
      </c>
      <c r="F33" s="20">
        <v>0.01</v>
      </c>
      <c r="G33" s="18">
        <f>D33*E33*F33</f>
        <v>0.44</v>
      </c>
      <c r="H33" s="27"/>
    </row>
    <row r="34" spans="1:8" s="11" customFormat="1" ht="15.75">
      <c r="A34" s="16" t="s">
        <v>59</v>
      </c>
      <c r="B34" s="16" t="s">
        <v>60</v>
      </c>
      <c r="C34" s="17" t="s">
        <v>6</v>
      </c>
      <c r="D34" s="18">
        <v>225</v>
      </c>
      <c r="E34" s="19">
        <v>0.25</v>
      </c>
      <c r="F34" s="20">
        <v>0.01</v>
      </c>
      <c r="G34" s="18">
        <f>D34*E34*F34</f>
        <v>0.56000000000000005</v>
      </c>
      <c r="H34" s="27"/>
    </row>
    <row r="35" spans="1:8" s="11" customFormat="1" ht="15.75">
      <c r="A35" s="16" t="s">
        <v>43</v>
      </c>
      <c r="B35" s="16" t="s">
        <v>44</v>
      </c>
      <c r="C35" s="17" t="s">
        <v>42</v>
      </c>
      <c r="D35" s="18">
        <v>185</v>
      </c>
      <c r="E35" s="19">
        <v>0.2</v>
      </c>
      <c r="F35" s="20">
        <v>2</v>
      </c>
      <c r="G35" s="18">
        <f>D35*E35*F35</f>
        <v>74</v>
      </c>
      <c r="H35" s="27"/>
    </row>
    <row r="36" spans="1:8" s="11" customFormat="1" ht="15.75">
      <c r="A36" s="8"/>
      <c r="B36" s="8"/>
      <c r="C36" s="8"/>
      <c r="D36" s="9"/>
      <c r="E36" s="21" t="str">
        <f>E29</f>
        <v>M3C</v>
      </c>
      <c r="F36" s="282">
        <f>SUM(G31:G35)</f>
        <v>286</v>
      </c>
      <c r="G36" s="282"/>
      <c r="H36" s="27"/>
    </row>
    <row r="37" spans="1:8" s="11" customFormat="1" ht="15.75">
      <c r="A37" s="25"/>
      <c r="B37" s="26"/>
      <c r="C37" s="27"/>
      <c r="D37" s="28"/>
      <c r="E37" s="29"/>
      <c r="F37" s="35"/>
      <c r="G37" s="36"/>
      <c r="H37" s="27"/>
    </row>
    <row r="38" spans="1:8" s="11" customFormat="1" ht="20.25">
      <c r="A38" s="5" t="s">
        <v>78</v>
      </c>
      <c r="B38"/>
      <c r="C38"/>
      <c r="D38"/>
      <c r="E38"/>
      <c r="F38"/>
      <c r="G38"/>
      <c r="H38" s="27"/>
    </row>
    <row r="39" spans="1:8" s="11" customFormat="1" ht="15.75">
      <c r="A39"/>
      <c r="B39"/>
      <c r="C39"/>
      <c r="D39"/>
      <c r="E39"/>
      <c r="F39"/>
      <c r="G39"/>
      <c r="H39" s="27"/>
    </row>
    <row r="40" spans="1:8" s="11" customFormat="1" ht="16.5" thickBot="1">
      <c r="A40" s="6" t="s">
        <v>61</v>
      </c>
      <c r="B40" s="7" t="s">
        <v>62</v>
      </c>
      <c r="C40" s="8"/>
      <c r="D40" s="9"/>
      <c r="E40" s="10" t="s">
        <v>23</v>
      </c>
      <c r="F40" s="281">
        <f>F46</f>
        <v>5866.39</v>
      </c>
      <c r="G40" s="281"/>
      <c r="H40" s="27"/>
    </row>
    <row r="41" spans="1:8" s="11" customFormat="1" ht="16.5" thickBot="1">
      <c r="A41" s="12" t="s">
        <v>14</v>
      </c>
      <c r="B41" s="2" t="s">
        <v>15</v>
      </c>
      <c r="C41" s="3" t="s">
        <v>16</v>
      </c>
      <c r="D41" s="4" t="s">
        <v>17</v>
      </c>
      <c r="E41" s="13" t="s">
        <v>18</v>
      </c>
      <c r="F41" s="14" t="s">
        <v>19</v>
      </c>
      <c r="G41" s="15" t="s">
        <v>20</v>
      </c>
      <c r="H41" s="27"/>
    </row>
    <row r="42" spans="1:8" s="11" customFormat="1" ht="15.75">
      <c r="A42" s="16" t="s">
        <v>63</v>
      </c>
      <c r="B42" s="16" t="s">
        <v>64</v>
      </c>
      <c r="C42" s="17" t="s">
        <v>23</v>
      </c>
      <c r="D42" s="18">
        <v>3844</v>
      </c>
      <c r="E42" s="19">
        <v>1.1000000000000001</v>
      </c>
      <c r="F42" s="20">
        <v>1</v>
      </c>
      <c r="G42" s="18">
        <f>D42*E42*F42</f>
        <v>4228.3999999999996</v>
      </c>
      <c r="H42" s="27"/>
    </row>
    <row r="43" spans="1:8">
      <c r="A43" s="16" t="s">
        <v>65</v>
      </c>
      <c r="B43" s="16" t="s">
        <v>66</v>
      </c>
      <c r="C43" s="17" t="s">
        <v>67</v>
      </c>
      <c r="D43" s="18">
        <v>75</v>
      </c>
      <c r="E43" s="19">
        <v>1</v>
      </c>
      <c r="F43" s="20">
        <v>2.5</v>
      </c>
      <c r="G43" s="18">
        <f>D43*E43*F43</f>
        <v>187.5</v>
      </c>
      <c r="H43" s="1"/>
    </row>
    <row r="44" spans="1:8">
      <c r="A44" s="16" t="s">
        <v>12</v>
      </c>
      <c r="B44" s="16" t="s">
        <v>68</v>
      </c>
      <c r="C44" s="17" t="s">
        <v>13</v>
      </c>
      <c r="D44" s="18">
        <v>1235</v>
      </c>
      <c r="E44" s="19">
        <v>1.05</v>
      </c>
      <c r="F44" s="33">
        <v>1.04975</v>
      </c>
      <c r="G44" s="18">
        <f>D44*E44*F44</f>
        <v>1361.26</v>
      </c>
      <c r="H44" s="1"/>
    </row>
    <row r="45" spans="1:8">
      <c r="A45" s="16" t="s">
        <v>69</v>
      </c>
      <c r="B45" s="16" t="s">
        <v>70</v>
      </c>
      <c r="C45" s="17" t="s">
        <v>13</v>
      </c>
      <c r="D45" s="18">
        <v>85</v>
      </c>
      <c r="E45" s="19">
        <v>1</v>
      </c>
      <c r="F45" s="33">
        <f>F44</f>
        <v>1.04975</v>
      </c>
      <c r="G45" s="18">
        <f>D45*E45*F45</f>
        <v>89.23</v>
      </c>
      <c r="H45" s="1"/>
    </row>
    <row r="46" spans="1:8" ht="15.75">
      <c r="A46" s="8"/>
      <c r="B46" s="8"/>
      <c r="C46" s="8"/>
      <c r="D46" s="9"/>
      <c r="E46" s="21" t="str">
        <f>E40</f>
        <v>M3</v>
      </c>
      <c r="F46" s="282">
        <f>SUM(G42:G45)</f>
        <v>5866.39</v>
      </c>
      <c r="G46" s="282"/>
      <c r="H46" s="1"/>
    </row>
    <row r="47" spans="1:8">
      <c r="H47" s="1"/>
    </row>
    <row r="48" spans="1:8" ht="16.5" thickBot="1">
      <c r="A48" s="6"/>
      <c r="B48" s="7" t="s">
        <v>79</v>
      </c>
      <c r="C48" s="8"/>
      <c r="D48" s="9"/>
      <c r="E48" s="10" t="s">
        <v>23</v>
      </c>
      <c r="F48" s="281">
        <f>F51</f>
        <v>3225</v>
      </c>
      <c r="G48" s="281"/>
      <c r="H48" s="1"/>
    </row>
    <row r="49" spans="1:8" ht="13.5" thickBot="1">
      <c r="A49" s="12" t="s">
        <v>14</v>
      </c>
      <c r="B49" s="2" t="s">
        <v>15</v>
      </c>
      <c r="C49" s="3" t="s">
        <v>16</v>
      </c>
      <c r="D49" s="4" t="s">
        <v>17</v>
      </c>
      <c r="E49" s="13" t="s">
        <v>18</v>
      </c>
      <c r="F49" s="14" t="s">
        <v>19</v>
      </c>
      <c r="G49" s="15" t="s">
        <v>20</v>
      </c>
      <c r="H49" s="1"/>
    </row>
    <row r="50" spans="1:8">
      <c r="A50" s="16"/>
      <c r="B50" s="16" t="s">
        <v>71</v>
      </c>
      <c r="C50" s="17" t="s">
        <v>23</v>
      </c>
      <c r="D50" s="18">
        <v>3225</v>
      </c>
      <c r="E50" s="19">
        <v>1</v>
      </c>
      <c r="F50" s="20">
        <v>1</v>
      </c>
      <c r="G50" s="18">
        <f>D50*E50*F50</f>
        <v>3225</v>
      </c>
      <c r="H50" s="1"/>
    </row>
    <row r="51" spans="1:8" ht="15.75">
      <c r="A51" s="8"/>
      <c r="B51" s="8"/>
      <c r="C51" s="8"/>
      <c r="D51" s="9"/>
      <c r="E51" s="21" t="str">
        <f>E48</f>
        <v>M3</v>
      </c>
      <c r="F51" s="282">
        <f>SUM(G50:G50)</f>
        <v>3225</v>
      </c>
      <c r="G51" s="282"/>
      <c r="H51" s="1"/>
    </row>
    <row r="52" spans="1:8">
      <c r="H52" s="1"/>
    </row>
    <row r="53" spans="1:8" ht="16.5" thickBot="1">
      <c r="A53" s="6" t="s">
        <v>72</v>
      </c>
      <c r="B53" s="7" t="s">
        <v>80</v>
      </c>
      <c r="C53" s="8"/>
      <c r="D53" s="9"/>
      <c r="E53" s="10" t="s">
        <v>23</v>
      </c>
      <c r="F53" s="281">
        <f>F59</f>
        <v>8902.0300000000007</v>
      </c>
      <c r="G53" s="281"/>
      <c r="H53" s="1"/>
    </row>
    <row r="54" spans="1:8" ht="13.5" thickBot="1">
      <c r="A54" s="12" t="s">
        <v>14</v>
      </c>
      <c r="B54" s="2" t="s">
        <v>15</v>
      </c>
      <c r="C54" s="3" t="s">
        <v>16</v>
      </c>
      <c r="D54" s="4" t="s">
        <v>17</v>
      </c>
      <c r="E54" s="13" t="s">
        <v>18</v>
      </c>
      <c r="F54" s="14" t="s">
        <v>19</v>
      </c>
      <c r="G54" s="15" t="s">
        <v>20</v>
      </c>
    </row>
    <row r="55" spans="1:8">
      <c r="A55" s="16" t="s">
        <v>63</v>
      </c>
      <c r="B55" s="16" t="s">
        <v>64</v>
      </c>
      <c r="C55" s="17" t="s">
        <v>23</v>
      </c>
      <c r="D55" s="18">
        <v>3844</v>
      </c>
      <c r="E55" s="19">
        <v>1.1000000000000001</v>
      </c>
      <c r="F55" s="20">
        <v>1</v>
      </c>
      <c r="G55" s="18">
        <f>D55*E55*F55</f>
        <v>4228.3999999999996</v>
      </c>
    </row>
    <row r="56" spans="1:8">
      <c r="A56" s="16" t="s">
        <v>65</v>
      </c>
      <c r="B56" s="16" t="s">
        <v>66</v>
      </c>
      <c r="C56" s="17" t="s">
        <v>67</v>
      </c>
      <c r="D56" s="18">
        <v>75</v>
      </c>
      <c r="E56" s="19">
        <v>1</v>
      </c>
      <c r="F56" s="34">
        <v>5</v>
      </c>
      <c r="G56" s="18">
        <f>D56*E56*F56</f>
        <v>375</v>
      </c>
    </row>
    <row r="57" spans="1:8">
      <c r="A57" s="16" t="s">
        <v>12</v>
      </c>
      <c r="B57" s="16" t="s">
        <v>68</v>
      </c>
      <c r="C57" s="17" t="s">
        <v>13</v>
      </c>
      <c r="D57" s="18">
        <v>1235</v>
      </c>
      <c r="E57" s="19">
        <v>1.05</v>
      </c>
      <c r="F57" s="33">
        <v>3.1110000000000002</v>
      </c>
      <c r="G57" s="18">
        <f>D57*E57*F57</f>
        <v>4034.19</v>
      </c>
    </row>
    <row r="58" spans="1:8">
      <c r="A58" s="16" t="s">
        <v>69</v>
      </c>
      <c r="B58" s="16" t="s">
        <v>70</v>
      </c>
      <c r="C58" s="17" t="s">
        <v>13</v>
      </c>
      <c r="D58" s="18">
        <v>85</v>
      </c>
      <c r="E58" s="19">
        <v>1</v>
      </c>
      <c r="F58" s="33">
        <f>F57</f>
        <v>3.1110000000000002</v>
      </c>
      <c r="G58" s="18">
        <f>D58*E58*F58</f>
        <v>264.44</v>
      </c>
    </row>
    <row r="59" spans="1:8" ht="15.75">
      <c r="A59" s="8"/>
      <c r="B59" s="8"/>
      <c r="C59" s="8"/>
      <c r="D59" s="9"/>
      <c r="E59" s="21" t="str">
        <f>E53</f>
        <v>M3</v>
      </c>
      <c r="F59" s="282">
        <f>SUM(G55:G58)</f>
        <v>8902.0300000000007</v>
      </c>
      <c r="G59" s="282"/>
    </row>
    <row r="60" spans="1:8" ht="15.75">
      <c r="A60" s="8"/>
      <c r="B60" s="8"/>
      <c r="C60" s="8"/>
      <c r="D60" s="9"/>
      <c r="E60" s="22"/>
      <c r="F60" s="23"/>
      <c r="G60" s="9"/>
    </row>
    <row r="61" spans="1:8" ht="16.5" thickBot="1">
      <c r="A61" s="6" t="s">
        <v>73</v>
      </c>
      <c r="B61" s="7" t="s">
        <v>81</v>
      </c>
      <c r="C61" s="8"/>
      <c r="D61" s="9"/>
      <c r="E61" s="10" t="s">
        <v>23</v>
      </c>
      <c r="F61" s="281">
        <f>F67</f>
        <v>12133.96</v>
      </c>
      <c r="G61" s="281"/>
    </row>
    <row r="62" spans="1:8" ht="13.5" thickBot="1">
      <c r="A62" s="12" t="s">
        <v>14</v>
      </c>
      <c r="B62" s="2" t="s">
        <v>15</v>
      </c>
      <c r="C62" s="3" t="s">
        <v>16</v>
      </c>
      <c r="D62" s="4" t="s">
        <v>17</v>
      </c>
      <c r="E62" s="13" t="s">
        <v>18</v>
      </c>
      <c r="F62" s="14" t="s">
        <v>19</v>
      </c>
      <c r="G62" s="15" t="s">
        <v>20</v>
      </c>
    </row>
    <row r="63" spans="1:8">
      <c r="A63" s="16" t="s">
        <v>63</v>
      </c>
      <c r="B63" s="16" t="s">
        <v>64</v>
      </c>
      <c r="C63" s="17" t="s">
        <v>23</v>
      </c>
      <c r="D63" s="18">
        <v>3844</v>
      </c>
      <c r="E63" s="19">
        <v>1.05</v>
      </c>
      <c r="F63" s="20">
        <v>1</v>
      </c>
      <c r="G63" s="18">
        <f>D63*E63*F63</f>
        <v>4036.2</v>
      </c>
    </row>
    <row r="64" spans="1:8">
      <c r="A64" s="16" t="s">
        <v>74</v>
      </c>
      <c r="B64" s="16" t="s">
        <v>75</v>
      </c>
      <c r="C64" s="17" t="s">
        <v>76</v>
      </c>
      <c r="D64" s="18">
        <v>165</v>
      </c>
      <c r="E64" s="19">
        <v>1</v>
      </c>
      <c r="F64" s="20">
        <v>16.670000000000002</v>
      </c>
      <c r="G64" s="18">
        <f>D64*E64*F64</f>
        <v>2750.55</v>
      </c>
    </row>
    <row r="65" spans="1:7">
      <c r="A65" s="16" t="s">
        <v>12</v>
      </c>
      <c r="B65" s="16" t="s">
        <v>68</v>
      </c>
      <c r="C65" s="17" t="s">
        <v>13</v>
      </c>
      <c r="D65" s="18">
        <v>1235</v>
      </c>
      <c r="E65" s="19">
        <v>1.05</v>
      </c>
      <c r="F65" s="33">
        <v>3.8698800000000002</v>
      </c>
      <c r="G65" s="18">
        <f>D65*E65*F65</f>
        <v>5018.2700000000004</v>
      </c>
    </row>
    <row r="66" spans="1:7">
      <c r="A66" s="16" t="s">
        <v>69</v>
      </c>
      <c r="B66" s="16" t="s">
        <v>70</v>
      </c>
      <c r="C66" s="17" t="s">
        <v>13</v>
      </c>
      <c r="D66" s="18">
        <v>85</v>
      </c>
      <c r="E66" s="19">
        <v>1</v>
      </c>
      <c r="F66" s="33">
        <f>F65</f>
        <v>3.8698800000000002</v>
      </c>
      <c r="G66" s="18">
        <f>D66*E66*F66</f>
        <v>328.94</v>
      </c>
    </row>
    <row r="67" spans="1:7" ht="15.75">
      <c r="A67" s="8"/>
      <c r="B67" s="8"/>
      <c r="C67" s="8"/>
      <c r="D67" s="9"/>
      <c r="E67" s="21" t="str">
        <f>E61</f>
        <v>M3</v>
      </c>
      <c r="F67" s="282">
        <f>SUM(G63:G66)</f>
        <v>12133.96</v>
      </c>
      <c r="G67" s="282"/>
    </row>
    <row r="69" spans="1:7" ht="16.5" thickBot="1">
      <c r="A69" s="6" t="s">
        <v>72</v>
      </c>
      <c r="B69" s="7" t="s">
        <v>77</v>
      </c>
      <c r="C69" s="8"/>
      <c r="D69" s="9"/>
      <c r="E69" s="10" t="s">
        <v>23</v>
      </c>
      <c r="F69" s="281">
        <f>F75</f>
        <v>8902.0300000000007</v>
      </c>
      <c r="G69" s="281"/>
    </row>
    <row r="70" spans="1:7" ht="13.5" thickBot="1">
      <c r="A70" s="12" t="s">
        <v>14</v>
      </c>
      <c r="B70" s="2" t="s">
        <v>15</v>
      </c>
      <c r="C70" s="3" t="s">
        <v>16</v>
      </c>
      <c r="D70" s="4" t="s">
        <v>17</v>
      </c>
      <c r="E70" s="13" t="s">
        <v>18</v>
      </c>
      <c r="F70" s="14" t="s">
        <v>19</v>
      </c>
      <c r="G70" s="15" t="s">
        <v>20</v>
      </c>
    </row>
    <row r="71" spans="1:7">
      <c r="A71" s="16" t="s">
        <v>63</v>
      </c>
      <c r="B71" s="16" t="s">
        <v>64</v>
      </c>
      <c r="C71" s="17" t="s">
        <v>23</v>
      </c>
      <c r="D71" s="18">
        <v>3844</v>
      </c>
      <c r="E71" s="19">
        <v>1.1000000000000001</v>
      </c>
      <c r="F71" s="20">
        <v>1</v>
      </c>
      <c r="G71" s="18">
        <f>D71*E71*F71</f>
        <v>4228.3999999999996</v>
      </c>
    </row>
    <row r="72" spans="1:7">
      <c r="A72" s="16" t="s">
        <v>65</v>
      </c>
      <c r="B72" s="16" t="s">
        <v>66</v>
      </c>
      <c r="C72" s="17" t="s">
        <v>67</v>
      </c>
      <c r="D72" s="18">
        <v>75</v>
      </c>
      <c r="E72" s="19">
        <v>1</v>
      </c>
      <c r="F72" s="34">
        <v>5</v>
      </c>
      <c r="G72" s="18">
        <f>D72*E72*F72</f>
        <v>375</v>
      </c>
    </row>
    <row r="73" spans="1:7">
      <c r="A73" s="16" t="s">
        <v>12</v>
      </c>
      <c r="B73" s="16" t="s">
        <v>68</v>
      </c>
      <c r="C73" s="17" t="s">
        <v>13</v>
      </c>
      <c r="D73" s="18">
        <v>1235</v>
      </c>
      <c r="E73" s="19">
        <v>1.05</v>
      </c>
      <c r="F73" s="33">
        <v>3.1110000000000002</v>
      </c>
      <c r="G73" s="18">
        <f>D73*E73*F73</f>
        <v>4034.19</v>
      </c>
    </row>
    <row r="74" spans="1:7">
      <c r="A74" s="16" t="s">
        <v>69</v>
      </c>
      <c r="B74" s="16" t="s">
        <v>70</v>
      </c>
      <c r="C74" s="17" t="s">
        <v>13</v>
      </c>
      <c r="D74" s="18">
        <v>85</v>
      </c>
      <c r="E74" s="19">
        <v>1</v>
      </c>
      <c r="F74" s="33">
        <f>F73</f>
        <v>3.1110000000000002</v>
      </c>
      <c r="G74" s="18">
        <f>D74*E74*F74</f>
        <v>264.44</v>
      </c>
    </row>
    <row r="75" spans="1:7" ht="15.75">
      <c r="A75" s="8"/>
      <c r="B75" s="8"/>
      <c r="C75" s="8"/>
      <c r="D75" s="9"/>
      <c r="E75" s="21" t="str">
        <f>E69</f>
        <v>M3</v>
      </c>
      <c r="F75" s="282">
        <f>SUM(G71:G74)</f>
        <v>8902.0300000000007</v>
      </c>
      <c r="G75" s="282"/>
    </row>
    <row r="76" spans="1:7" ht="15.75">
      <c r="A76" s="8"/>
      <c r="B76" s="8"/>
      <c r="C76" s="8"/>
      <c r="D76" s="9"/>
      <c r="E76" s="22"/>
      <c r="F76" s="23"/>
      <c r="G76" s="9"/>
    </row>
    <row r="77" spans="1:7" ht="16.5" thickBot="1">
      <c r="A77" s="6" t="s">
        <v>73</v>
      </c>
      <c r="B77" s="7" t="s">
        <v>82</v>
      </c>
      <c r="C77" s="8"/>
      <c r="D77" s="9"/>
      <c r="E77" s="10" t="s">
        <v>23</v>
      </c>
      <c r="F77" s="281">
        <f>F83</f>
        <v>9184.9500000000007</v>
      </c>
      <c r="G77" s="281"/>
    </row>
    <row r="78" spans="1:7" ht="13.5" thickBot="1">
      <c r="A78" s="12" t="s">
        <v>14</v>
      </c>
      <c r="B78" s="2" t="s">
        <v>15</v>
      </c>
      <c r="C78" s="3" t="s">
        <v>16</v>
      </c>
      <c r="D78" s="4" t="s">
        <v>17</v>
      </c>
      <c r="E78" s="13" t="s">
        <v>18</v>
      </c>
      <c r="F78" s="14" t="s">
        <v>19</v>
      </c>
      <c r="G78" s="15" t="s">
        <v>20</v>
      </c>
    </row>
    <row r="79" spans="1:7">
      <c r="A79" s="16" t="s">
        <v>63</v>
      </c>
      <c r="B79" s="16" t="s">
        <v>64</v>
      </c>
      <c r="C79" s="17" t="s">
        <v>23</v>
      </c>
      <c r="D79" s="18">
        <v>3844</v>
      </c>
      <c r="E79" s="19">
        <v>1.05</v>
      </c>
      <c r="F79" s="20">
        <v>1</v>
      </c>
      <c r="G79" s="18">
        <f>D79*E79*F79</f>
        <v>4036.2</v>
      </c>
    </row>
    <row r="80" spans="1:7">
      <c r="A80" s="16" t="s">
        <v>74</v>
      </c>
      <c r="B80" s="16" t="s">
        <v>75</v>
      </c>
      <c r="C80" s="17" t="s">
        <v>76</v>
      </c>
      <c r="D80" s="18">
        <v>165</v>
      </c>
      <c r="E80" s="19">
        <v>1</v>
      </c>
      <c r="F80" s="20">
        <v>11.11</v>
      </c>
      <c r="G80" s="18">
        <f>D80*E80*F80</f>
        <v>1833.15</v>
      </c>
    </row>
    <row r="81" spans="1:7">
      <c r="A81" s="16" t="s">
        <v>12</v>
      </c>
      <c r="B81" s="16" t="s">
        <v>68</v>
      </c>
      <c r="C81" s="17" t="s">
        <v>13</v>
      </c>
      <c r="D81" s="18">
        <v>1235</v>
      </c>
      <c r="E81" s="19">
        <v>1.05</v>
      </c>
      <c r="F81" s="33">
        <v>2.3995700000000002</v>
      </c>
      <c r="G81" s="18">
        <f>D81*E81*F81</f>
        <v>3111.64</v>
      </c>
    </row>
    <row r="82" spans="1:7">
      <c r="A82" s="16" t="s">
        <v>69</v>
      </c>
      <c r="B82" s="16" t="s">
        <v>70</v>
      </c>
      <c r="C82" s="17" t="s">
        <v>13</v>
      </c>
      <c r="D82" s="18">
        <v>85</v>
      </c>
      <c r="E82" s="19">
        <v>1</v>
      </c>
      <c r="F82" s="33">
        <f>F81</f>
        <v>2.3995700000000002</v>
      </c>
      <c r="G82" s="18">
        <f>D82*E82*F82</f>
        <v>203.96</v>
      </c>
    </row>
    <row r="83" spans="1:7" ht="15.75">
      <c r="A83" s="8"/>
      <c r="B83" s="8"/>
      <c r="C83" s="8"/>
      <c r="D83" s="9"/>
      <c r="E83" s="21" t="str">
        <f>E77</f>
        <v>M3</v>
      </c>
      <c r="F83" s="282">
        <f>SUM(G79:G82)</f>
        <v>9184.9500000000007</v>
      </c>
      <c r="G83" s="282"/>
    </row>
  </sheetData>
  <mergeCells count="20">
    <mergeCell ref="F83:G83"/>
    <mergeCell ref="F59:G59"/>
    <mergeCell ref="F61:G61"/>
    <mergeCell ref="F67:G67"/>
    <mergeCell ref="F69:G69"/>
    <mergeCell ref="F75:G75"/>
    <mergeCell ref="F77:G77"/>
    <mergeCell ref="F6:G6"/>
    <mergeCell ref="F11:G11"/>
    <mergeCell ref="F20:G20"/>
    <mergeCell ref="F22:G22"/>
    <mergeCell ref="F9:G9"/>
    <mergeCell ref="F48:G48"/>
    <mergeCell ref="F51:G51"/>
    <mergeCell ref="F53:G53"/>
    <mergeCell ref="F27:G27"/>
    <mergeCell ref="F29:G29"/>
    <mergeCell ref="F36:G36"/>
    <mergeCell ref="F40:G40"/>
    <mergeCell ref="F46:G46"/>
  </mergeCells>
  <phoneticPr fontId="0" type="noConversion"/>
  <pageMargins left="0.75" right="0.75" top="1" bottom="1" header="0" footer="0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presupuesto</vt:lpstr>
      <vt:lpstr> Budget Plan</vt:lpstr>
      <vt:lpstr>ANALISIS DE COSTOS</vt:lpstr>
      <vt:lpstr>' Budget Plan'!Print_Area</vt:lpstr>
      <vt:lpstr>presupuesto!Print_Area</vt:lpstr>
      <vt:lpstr>' Budget Plan'!Print_Titles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Maria Pilier Alfonseca</cp:lastModifiedBy>
  <cp:lastPrinted>2013-11-20T13:23:53Z</cp:lastPrinted>
  <dcterms:created xsi:type="dcterms:W3CDTF">2005-09-12T20:49:46Z</dcterms:created>
  <dcterms:modified xsi:type="dcterms:W3CDTF">2013-12-10T19:39:45Z</dcterms:modified>
</cp:coreProperties>
</file>